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drawings/drawing19.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20.xml" ContentType="application/vnd.openxmlformats-officedocument.drawing+xml"/>
  <Override PartName="/xl/ctrlProps/ctrlProp19.xml" ContentType="application/vnd.ms-excel.controlproperties+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showInkAnnotation="0" codeName="EstaPastaDeTrabalho" defaultThemeVersion="124226"/>
  <mc:AlternateContent xmlns:mc="http://schemas.openxmlformats.org/markup-compatibility/2006">
    <mc:Choice Requires="x15">
      <x15ac:absPath xmlns:x15ac="http://schemas.microsoft.com/office/spreadsheetml/2010/11/ac" url="V:\TRANSITO\Administrativo\Compras\LICITAÇÕES 2024\CONCESSÃO TRANSPORTE PÚBLICO\1 - Estudo Técnico Preliminar\"/>
    </mc:Choice>
  </mc:AlternateContent>
  <bookViews>
    <workbookView xWindow="7440" yWindow="0" windowWidth="23070" windowHeight="10185" tabRatio="777" firstSheet="4" activeTab="6"/>
  </bookViews>
  <sheets>
    <sheet name="0.Instruções" sheetId="22" r:id="rId1"/>
    <sheet name="1.1. Passageiros" sheetId="1" r:id="rId2"/>
    <sheet name="1.2. KM programada" sheetId="2" r:id="rId3"/>
    <sheet name="1.3 Frota Total" sheetId="3" r:id="rId4"/>
    <sheet name="1.4 Indicadores" sheetId="4" r:id="rId5"/>
    <sheet name="2.1.a Combustível" sheetId="10" r:id="rId6"/>
    <sheet name="2.1.b Veículos" sheetId="12" r:id="rId7"/>
    <sheet name="2.1.c Insumos" sheetId="5" r:id="rId8"/>
    <sheet name="2.1. Custo Variável" sheetId="13" r:id="rId9"/>
    <sheet name="2.2 Custo Fixo" sheetId="14" r:id="rId10"/>
    <sheet name="2.3 RPS" sheetId="20" r:id="rId11"/>
    <sheet name="4. Custo Total" sheetId="21" r:id="rId12"/>
    <sheet name="4.1. Custo Pass. Transp." sheetId="25" r:id="rId13"/>
    <sheet name="4.2. Tarifa Pública" sheetId="44" r:id="rId14"/>
    <sheet name="5. Composição CT" sheetId="40" r:id="rId15"/>
    <sheet name="A.III. Combustível" sheetId="45" r:id="rId16"/>
    <sheet name="A.IV. Lub." sheetId="27" r:id="rId17"/>
    <sheet name="A.V. Arla32" sheetId="23" r:id="rId18"/>
    <sheet name="A.VI. Rodagem" sheetId="11" r:id="rId19"/>
    <sheet name="A.VII. Peças e acessórios " sheetId="24" r:id="rId20"/>
    <sheet name="A.VIII. Custos ambientais" sheetId="26" r:id="rId21"/>
    <sheet name="A.IX.a. Deprec. veículos" sheetId="16" r:id="rId22"/>
    <sheet name="A.IX.b. Deprec. garagem equip. " sheetId="17" r:id="rId23"/>
    <sheet name="A.X.a. Remun. veículos " sheetId="18" r:id="rId24"/>
    <sheet name="A.X.b.  Remun. garagem equip." sheetId="30" r:id="rId25"/>
    <sheet name="A.X.c. Remun. Eq. Bilhet. ITS" sheetId="19" r:id="rId26"/>
    <sheet name="A.X.d. Remun. Vec. Apoio" sheetId="31" r:id="rId27"/>
    <sheet name="A.X. Remun. Infra" sheetId="32" r:id="rId28"/>
    <sheet name="A.X.e. Remun. Infraes" sheetId="36" r:id="rId29"/>
    <sheet name="A.XII. FU" sheetId="28" r:id="rId30"/>
    <sheet name="A.XIII. DMA" sheetId="29" r:id="rId31"/>
    <sheet name="A.XV. RPS (Simplificado)" sheetId="37" r:id="rId32"/>
    <sheet name="A.XV. RPS (DetalhadoI)" sheetId="38" state="hidden" r:id="rId33"/>
    <sheet name="A.XV. RPS (DetalhadoII)" sheetId="39" state="hidden" r:id="rId34"/>
    <sheet name="A.XV. RPS (Base Num)" sheetId="41" state="hidden" r:id="rId35"/>
    <sheet name="A.XVI. Despesas Gerais" sheetId="43" r:id="rId36"/>
    <sheet name="Despesas Gerais" sheetId="46" r:id="rId37"/>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3" i="17" l="1"/>
  <c r="D20" i="16" l="1"/>
  <c r="E20" i="16"/>
  <c r="F20" i="16"/>
  <c r="G20" i="16"/>
  <c r="D21" i="16"/>
  <c r="E21" i="16"/>
  <c r="F21" i="16"/>
  <c r="G21" i="16"/>
  <c r="D22" i="16"/>
  <c r="E22" i="16"/>
  <c r="F22" i="16"/>
  <c r="G22" i="16"/>
  <c r="D23" i="16"/>
  <c r="E23" i="16"/>
  <c r="F23" i="16"/>
  <c r="G23" i="16"/>
  <c r="D24" i="16"/>
  <c r="E24" i="16"/>
  <c r="F24" i="16"/>
  <c r="G24" i="16"/>
  <c r="D25" i="16"/>
  <c r="E25" i="16"/>
  <c r="F25" i="16"/>
  <c r="G25" i="16"/>
  <c r="D26" i="16"/>
  <c r="E26" i="16"/>
  <c r="F26" i="16"/>
  <c r="G26" i="16"/>
  <c r="D27" i="16"/>
  <c r="E27" i="16"/>
  <c r="F27" i="16"/>
  <c r="G27" i="16"/>
  <c r="D28" i="16"/>
  <c r="E28" i="16"/>
  <c r="F28" i="16"/>
  <c r="G28" i="16"/>
  <c r="D29" i="16"/>
  <c r="E29" i="16"/>
  <c r="F29" i="16"/>
  <c r="G29" i="16"/>
  <c r="D30" i="16"/>
  <c r="E30" i="16"/>
  <c r="F30" i="16"/>
  <c r="G30" i="16"/>
  <c r="D31" i="16"/>
  <c r="E31" i="16"/>
  <c r="F31" i="16"/>
  <c r="G31" i="16"/>
  <c r="G19" i="16"/>
  <c r="F19" i="16"/>
  <c r="E19" i="16"/>
  <c r="D19" i="16"/>
  <c r="U22" i="16"/>
  <c r="U21" i="16"/>
  <c r="V21" i="16" s="1"/>
  <c r="W21" i="16" s="1"/>
  <c r="X21" i="16" s="1"/>
  <c r="Y21" i="16" s="1"/>
  <c r="Z21" i="16" s="1"/>
  <c r="AA21" i="16" s="1"/>
  <c r="AB21" i="16" s="1"/>
  <c r="AC21" i="16" s="1"/>
  <c r="AD21" i="16" s="1"/>
  <c r="AE21" i="16" s="1"/>
  <c r="AF21" i="16" s="1"/>
  <c r="U20" i="16"/>
  <c r="V20" i="16" s="1"/>
  <c r="W20" i="16" s="1"/>
  <c r="X20" i="16" s="1"/>
  <c r="Y20" i="16" s="1"/>
  <c r="Z20" i="16" s="1"/>
  <c r="AA20" i="16" s="1"/>
  <c r="AB20" i="16" s="1"/>
  <c r="AC20" i="16" s="1"/>
  <c r="AD20" i="16" s="1"/>
  <c r="AE20" i="16" s="1"/>
  <c r="V19" i="16"/>
  <c r="U19" i="16"/>
  <c r="U18" i="16"/>
  <c r="V18" i="16" s="1"/>
  <c r="V17" i="16"/>
  <c r="W17" i="16" s="1"/>
  <c r="X17" i="16" s="1"/>
  <c r="Y17" i="16" s="1"/>
  <c r="Z17" i="16" s="1"/>
  <c r="AA17" i="16" s="1"/>
  <c r="AB17" i="16" s="1"/>
  <c r="U17" i="16"/>
  <c r="W16" i="16"/>
  <c r="X16" i="16" s="1"/>
  <c r="V16" i="16"/>
  <c r="U16" i="16"/>
  <c r="U15" i="16"/>
  <c r="V15" i="16" s="1"/>
  <c r="U14" i="16"/>
  <c r="V14" i="16" s="1"/>
  <c r="U13" i="16"/>
  <c r="V13" i="16" s="1"/>
  <c r="T12" i="16"/>
  <c r="T11" i="16"/>
  <c r="W15" i="16" l="1"/>
  <c r="X15" i="16" s="1"/>
  <c r="Y15" i="16" s="1"/>
  <c r="Z15" i="16" s="1"/>
  <c r="T16" i="16"/>
  <c r="Y16" i="16"/>
  <c r="Z16" i="16" s="1"/>
  <c r="AA16" i="16" s="1"/>
  <c r="W18" i="16"/>
  <c r="X18" i="16" s="1"/>
  <c r="Y18" i="16" s="1"/>
  <c r="Z18" i="16" s="1"/>
  <c r="AA18" i="16" s="1"/>
  <c r="AB18" i="16" s="1"/>
  <c r="AC18" i="16" s="1"/>
  <c r="W13" i="16"/>
  <c r="X13" i="16" s="1"/>
  <c r="W14" i="16"/>
  <c r="X14" i="16" s="1"/>
  <c r="Y14" i="16" s="1"/>
  <c r="V22" i="16"/>
  <c r="W22" i="16" s="1"/>
  <c r="X22" i="16" s="1"/>
  <c r="Y22" i="16" s="1"/>
  <c r="Z22" i="16" s="1"/>
  <c r="AA22" i="16" s="1"/>
  <c r="AB22" i="16" s="1"/>
  <c r="AC22" i="16" s="1"/>
  <c r="AD22" i="16" s="1"/>
  <c r="AE22" i="16" s="1"/>
  <c r="AF22" i="16" s="1"/>
  <c r="AG22" i="16" s="1"/>
  <c r="T17" i="16"/>
  <c r="W19" i="16"/>
  <c r="X19" i="16" s="1"/>
  <c r="Y19" i="16" s="1"/>
  <c r="Z19" i="16" s="1"/>
  <c r="AA19" i="16" s="1"/>
  <c r="AB19" i="16" s="1"/>
  <c r="AC19" i="16" s="1"/>
  <c r="AD19" i="16" s="1"/>
  <c r="T20" i="16"/>
  <c r="T21" i="16"/>
  <c r="T14" i="16" l="1"/>
  <c r="T22" i="16"/>
  <c r="T15" i="16"/>
  <c r="T13" i="16"/>
  <c r="T19" i="16"/>
  <c r="T18" i="16"/>
  <c r="D10" i="46" l="1"/>
  <c r="E57" i="10" l="1"/>
  <c r="C12" i="10"/>
  <c r="C13" i="10"/>
  <c r="P32" i="3" l="1"/>
  <c r="P33" i="3"/>
  <c r="P34" i="3"/>
  <c r="P35" i="3"/>
  <c r="P36" i="3"/>
  <c r="P37" i="3"/>
  <c r="P38" i="3"/>
  <c r="P39" i="3"/>
  <c r="P40" i="3"/>
  <c r="P41" i="3"/>
  <c r="P42" i="3"/>
  <c r="P43" i="3"/>
  <c r="P44" i="3"/>
  <c r="P45" i="3"/>
  <c r="P46" i="3"/>
  <c r="P47" i="3"/>
  <c r="P48" i="3"/>
  <c r="P49" i="3"/>
  <c r="P50" i="3"/>
  <c r="P51" i="3"/>
  <c r="P52" i="3"/>
  <c r="P53" i="3"/>
  <c r="P54" i="3"/>
  <c r="P55" i="3"/>
  <c r="P56" i="3"/>
  <c r="P57" i="3"/>
  <c r="P58" i="3"/>
  <c r="P59" i="3"/>
  <c r="P60" i="3"/>
  <c r="P61" i="3"/>
  <c r="P62" i="3"/>
  <c r="P63" i="3"/>
  <c r="P64" i="3"/>
  <c r="P65" i="3"/>
  <c r="P66" i="3"/>
  <c r="P67" i="3"/>
  <c r="P68" i="3"/>
  <c r="P69" i="3"/>
  <c r="P70" i="3"/>
  <c r="P71" i="3"/>
  <c r="P72" i="3"/>
  <c r="P73" i="3"/>
  <c r="P74" i="3"/>
  <c r="P75" i="3"/>
  <c r="P76" i="3"/>
  <c r="P77" i="3"/>
  <c r="P78" i="3"/>
  <c r="P79" i="3"/>
  <c r="P80" i="3"/>
  <c r="P81" i="3"/>
  <c r="P82" i="3"/>
  <c r="P83" i="3"/>
  <c r="P84" i="3"/>
  <c r="P85" i="3"/>
  <c r="P86" i="3"/>
  <c r="P87" i="3"/>
  <c r="P88" i="3"/>
  <c r="P89" i="3"/>
  <c r="P90" i="3"/>
  <c r="P91" i="3"/>
  <c r="P92" i="3"/>
  <c r="P93" i="3"/>
  <c r="P94" i="3"/>
  <c r="P95" i="3"/>
  <c r="P96" i="3"/>
  <c r="P97" i="3"/>
  <c r="P98" i="3"/>
  <c r="P99" i="3"/>
  <c r="P100" i="3"/>
  <c r="P101" i="3"/>
  <c r="P102" i="3"/>
  <c r="P103" i="3"/>
  <c r="P104" i="3"/>
  <c r="P105" i="3"/>
  <c r="P106" i="3"/>
  <c r="P107" i="3"/>
  <c r="P108" i="3"/>
  <c r="P109" i="3"/>
  <c r="P110" i="3"/>
  <c r="P31" i="3"/>
  <c r="O42" i="3"/>
  <c r="Q42" i="3" s="1"/>
  <c r="O43" i="3"/>
  <c r="Q43" i="3" s="1"/>
  <c r="O44" i="3"/>
  <c r="Q44" i="3" s="1"/>
  <c r="O45" i="3"/>
  <c r="Q45" i="3" s="1"/>
  <c r="O46" i="3"/>
  <c r="Q46" i="3" s="1"/>
  <c r="O47" i="3"/>
  <c r="Q47" i="3" s="1"/>
  <c r="O48" i="3"/>
  <c r="O49" i="3"/>
  <c r="O50" i="3"/>
  <c r="O51" i="3"/>
  <c r="O52" i="3"/>
  <c r="O53" i="3"/>
  <c r="O54" i="3"/>
  <c r="O55" i="3"/>
  <c r="O56" i="3"/>
  <c r="O57" i="3"/>
  <c r="O58" i="3"/>
  <c r="O59" i="3"/>
  <c r="O60" i="3"/>
  <c r="O61" i="3"/>
  <c r="O62" i="3"/>
  <c r="Q62" i="3" s="1"/>
  <c r="O63" i="3"/>
  <c r="Q63" i="3" s="1"/>
  <c r="O64" i="3"/>
  <c r="Q64" i="3" s="1"/>
  <c r="O65" i="3"/>
  <c r="Q65" i="3" s="1"/>
  <c r="O66" i="3"/>
  <c r="O67" i="3"/>
  <c r="Q67" i="3" s="1"/>
  <c r="O68" i="3"/>
  <c r="Q68" i="3" s="1"/>
  <c r="O69" i="3"/>
  <c r="Q69" i="3" s="1"/>
  <c r="O70" i="3"/>
  <c r="Q70" i="3" s="1"/>
  <c r="O71" i="3"/>
  <c r="Q71" i="3" s="1"/>
  <c r="O72" i="3"/>
  <c r="Q72" i="3" s="1"/>
  <c r="O73" i="3"/>
  <c r="Q73" i="3" s="1"/>
  <c r="O74" i="3"/>
  <c r="Q74" i="3" s="1"/>
  <c r="O75" i="3"/>
  <c r="Q75" i="3" s="1"/>
  <c r="O76" i="3"/>
  <c r="Q76" i="3" s="1"/>
  <c r="O77" i="3"/>
  <c r="Q77" i="3" s="1"/>
  <c r="O78" i="3"/>
  <c r="Q78" i="3" s="1"/>
  <c r="O79" i="3"/>
  <c r="Q79" i="3" s="1"/>
  <c r="O80" i="3"/>
  <c r="Q80" i="3" s="1"/>
  <c r="O81" i="3"/>
  <c r="Q81" i="3" s="1"/>
  <c r="O82" i="3"/>
  <c r="Q82" i="3" s="1"/>
  <c r="O83" i="3"/>
  <c r="Q83" i="3" s="1"/>
  <c r="O84" i="3"/>
  <c r="Q84" i="3" s="1"/>
  <c r="O85" i="3"/>
  <c r="Q85" i="3" s="1"/>
  <c r="O86" i="3"/>
  <c r="Q86" i="3" s="1"/>
  <c r="O87" i="3"/>
  <c r="Q87" i="3" s="1"/>
  <c r="O88" i="3"/>
  <c r="Q88" i="3" s="1"/>
  <c r="O89" i="3"/>
  <c r="Q89" i="3" s="1"/>
  <c r="O90" i="3"/>
  <c r="Q90" i="3" s="1"/>
  <c r="O91" i="3"/>
  <c r="Q91" i="3" s="1"/>
  <c r="O92" i="3"/>
  <c r="Q92" i="3" s="1"/>
  <c r="O93" i="3"/>
  <c r="Q93" i="3" s="1"/>
  <c r="O94" i="3"/>
  <c r="Q94" i="3" s="1"/>
  <c r="O95" i="3"/>
  <c r="Q95" i="3" s="1"/>
  <c r="O96" i="3"/>
  <c r="Q96" i="3" s="1"/>
  <c r="O97" i="3"/>
  <c r="Q97" i="3" s="1"/>
  <c r="O98" i="3"/>
  <c r="Q98" i="3" s="1"/>
  <c r="O99" i="3"/>
  <c r="Q99" i="3" s="1"/>
  <c r="O100" i="3"/>
  <c r="Q100" i="3" s="1"/>
  <c r="O101" i="3"/>
  <c r="Q101" i="3" s="1"/>
  <c r="O102" i="3"/>
  <c r="Q102" i="3" s="1"/>
  <c r="O103" i="3"/>
  <c r="Q103" i="3" s="1"/>
  <c r="O104" i="3"/>
  <c r="Q104" i="3" s="1"/>
  <c r="O105" i="3"/>
  <c r="Q105" i="3" s="1"/>
  <c r="O106" i="3"/>
  <c r="Q106" i="3" s="1"/>
  <c r="O107" i="3"/>
  <c r="Q107" i="3" s="1"/>
  <c r="O108" i="3"/>
  <c r="Q108" i="3" s="1"/>
  <c r="O109" i="3"/>
  <c r="Q109" i="3" s="1"/>
  <c r="O110" i="3"/>
  <c r="Q110" i="3" s="1"/>
  <c r="O37" i="3"/>
  <c r="Q37" i="3" s="1"/>
  <c r="O38" i="3"/>
  <c r="Q38" i="3" s="1"/>
  <c r="O39" i="3"/>
  <c r="Q39" i="3" s="1"/>
  <c r="O40" i="3"/>
  <c r="Q40" i="3" s="1"/>
  <c r="O41" i="3"/>
  <c r="Q41" i="3" s="1"/>
  <c r="O31" i="3"/>
  <c r="Q31" i="3" s="1"/>
  <c r="O32" i="3"/>
  <c r="Q32" i="3" s="1"/>
  <c r="O33" i="3"/>
  <c r="Q33" i="3" s="1"/>
  <c r="O34" i="3"/>
  <c r="Q34" i="3" s="1"/>
  <c r="O35" i="3"/>
  <c r="Q35" i="3" s="1"/>
  <c r="O36" i="3"/>
  <c r="Q36" i="3" s="1"/>
  <c r="J130" i="16"/>
  <c r="J122" i="16"/>
  <c r="J123" i="16"/>
  <c r="J124" i="16"/>
  <c r="J125" i="16"/>
  <c r="J126" i="16"/>
  <c r="J128" i="16"/>
  <c r="J129" i="16"/>
  <c r="F57" i="18"/>
  <c r="G57" i="18"/>
  <c r="H57" i="18"/>
  <c r="I57" i="18"/>
  <c r="F58" i="18"/>
  <c r="G58" i="18"/>
  <c r="H58" i="18"/>
  <c r="I58" i="18"/>
  <c r="F59" i="18"/>
  <c r="G59" i="18"/>
  <c r="H59" i="18"/>
  <c r="I59" i="18"/>
  <c r="F60" i="18"/>
  <c r="G60" i="18"/>
  <c r="H60" i="18"/>
  <c r="I60" i="18"/>
  <c r="F61" i="18"/>
  <c r="G61" i="18"/>
  <c r="H61" i="18"/>
  <c r="I61" i="18"/>
  <c r="F45" i="18"/>
  <c r="G45" i="18"/>
  <c r="H45" i="18"/>
  <c r="I45" i="18"/>
  <c r="F46" i="18"/>
  <c r="G46" i="18"/>
  <c r="H46" i="18"/>
  <c r="I46" i="18"/>
  <c r="F47" i="18"/>
  <c r="G47" i="18"/>
  <c r="H47" i="18"/>
  <c r="I47" i="18"/>
  <c r="F48" i="18"/>
  <c r="G48" i="18"/>
  <c r="H48" i="18"/>
  <c r="I48" i="18"/>
  <c r="F24" i="18"/>
  <c r="G24" i="18"/>
  <c r="H24" i="18"/>
  <c r="I24" i="18"/>
  <c r="F25" i="18"/>
  <c r="G25" i="18"/>
  <c r="H25" i="18"/>
  <c r="I25" i="18"/>
  <c r="F26" i="18"/>
  <c r="G26" i="18"/>
  <c r="H26" i="18"/>
  <c r="I26" i="18"/>
  <c r="F27" i="18"/>
  <c r="G27" i="18"/>
  <c r="H27" i="18"/>
  <c r="I27" i="18"/>
  <c r="F28" i="18"/>
  <c r="G28" i="18"/>
  <c r="H28" i="18"/>
  <c r="I28" i="18"/>
  <c r="F29" i="18"/>
  <c r="G29" i="18"/>
  <c r="H29" i="18"/>
  <c r="I29" i="18"/>
  <c r="F74" i="16"/>
  <c r="G74" i="16"/>
  <c r="H74" i="16"/>
  <c r="I74" i="16"/>
  <c r="F75" i="16"/>
  <c r="G75" i="16"/>
  <c r="H75" i="16"/>
  <c r="I75" i="16"/>
  <c r="F76" i="16"/>
  <c r="G76" i="16"/>
  <c r="H76" i="16"/>
  <c r="I76" i="16"/>
  <c r="F77" i="16"/>
  <c r="G77" i="16"/>
  <c r="H77" i="16"/>
  <c r="I77" i="16"/>
  <c r="F78" i="16"/>
  <c r="G78" i="16"/>
  <c r="H78" i="16"/>
  <c r="I78" i="16"/>
  <c r="F65" i="16"/>
  <c r="G65" i="16"/>
  <c r="H65" i="16"/>
  <c r="I65" i="16"/>
  <c r="F56" i="16"/>
  <c r="G56" i="16"/>
  <c r="H56" i="16"/>
  <c r="I56" i="16"/>
  <c r="F57" i="16"/>
  <c r="G57" i="16"/>
  <c r="H57" i="16"/>
  <c r="I57" i="16"/>
  <c r="F58" i="16"/>
  <c r="G58" i="16"/>
  <c r="H58" i="16"/>
  <c r="I58" i="16"/>
  <c r="F59" i="16"/>
  <c r="G59" i="16"/>
  <c r="H59" i="16"/>
  <c r="I59" i="16"/>
  <c r="F60" i="16"/>
  <c r="G60" i="16"/>
  <c r="H60" i="16"/>
  <c r="I60" i="16"/>
  <c r="F61" i="16"/>
  <c r="G61" i="16"/>
  <c r="H61" i="16"/>
  <c r="I61" i="16"/>
  <c r="F62" i="16"/>
  <c r="G62" i="16"/>
  <c r="H62" i="16"/>
  <c r="I62" i="16"/>
  <c r="F63" i="16"/>
  <c r="G63" i="16"/>
  <c r="H63" i="16"/>
  <c r="I63" i="16"/>
  <c r="F64" i="16"/>
  <c r="G64" i="16"/>
  <c r="H64" i="16"/>
  <c r="I64" i="16"/>
  <c r="F42" i="16"/>
  <c r="G42" i="16"/>
  <c r="H42" i="16"/>
  <c r="I42" i="16"/>
  <c r="F43" i="16"/>
  <c r="G43" i="16"/>
  <c r="H43" i="16"/>
  <c r="I43" i="16"/>
  <c r="F44" i="16"/>
  <c r="G44" i="16"/>
  <c r="H44" i="16"/>
  <c r="I44" i="16"/>
  <c r="F45" i="16"/>
  <c r="G45" i="16"/>
  <c r="H45" i="16"/>
  <c r="I45" i="16"/>
  <c r="F46" i="16"/>
  <c r="G46" i="16"/>
  <c r="H46" i="16"/>
  <c r="I46" i="16"/>
  <c r="E4" i="32"/>
  <c r="E18" i="46"/>
  <c r="C47" i="43" s="1" a="1"/>
  <c r="C47" i="43" s="1"/>
  <c r="F37" i="5"/>
  <c r="F36" i="5"/>
  <c r="Q50" i="3" l="1"/>
  <c r="Q61" i="3"/>
  <c r="Q49" i="3"/>
  <c r="Q60" i="3"/>
  <c r="Q48" i="3"/>
  <c r="Q59" i="3"/>
  <c r="Q58" i="3"/>
  <c r="Q57" i="3"/>
  <c r="Q56" i="3"/>
  <c r="Q55" i="3"/>
  <c r="Q66" i="3"/>
  <c r="Q54" i="3"/>
  <c r="Q113" i="3" s="1"/>
  <c r="Q53" i="3"/>
  <c r="Q52" i="3"/>
  <c r="Q51" i="3"/>
  <c r="J148" i="16"/>
  <c r="I148" i="16" s="1"/>
  <c r="J161" i="16"/>
  <c r="I161" i="16" s="1"/>
  <c r="J145" i="16"/>
  <c r="J158" i="16"/>
  <c r="J147" i="16"/>
  <c r="H147" i="16" s="1"/>
  <c r="J160" i="16"/>
  <c r="I160" i="16" s="1"/>
  <c r="J144" i="16"/>
  <c r="J157" i="16"/>
  <c r="J143" i="16"/>
  <c r="J156" i="16"/>
  <c r="J142" i="16"/>
  <c r="J155" i="16"/>
  <c r="J146" i="16"/>
  <c r="G146" i="16" s="1"/>
  <c r="J159" i="16"/>
  <c r="H159" i="16" s="1"/>
  <c r="J141" i="16"/>
  <c r="J154" i="16"/>
  <c r="J140" i="16"/>
  <c r="J153" i="16"/>
  <c r="J22" i="18"/>
  <c r="J23" i="18"/>
  <c r="J24" i="18"/>
  <c r="H109" i="18" s="1"/>
  <c r="J25" i="18"/>
  <c r="I110" i="18" s="1"/>
  <c r="J26" i="18"/>
  <c r="H111" i="18" s="1"/>
  <c r="J27" i="18"/>
  <c r="H112" i="18" s="1"/>
  <c r="J28" i="18"/>
  <c r="G113" i="18" s="1"/>
  <c r="J29" i="18"/>
  <c r="I114" i="18" s="1"/>
  <c r="J21" i="18"/>
  <c r="J139" i="16"/>
  <c r="J152" i="16"/>
  <c r="J138" i="16"/>
  <c r="J151" i="16"/>
  <c r="J39" i="18"/>
  <c r="J46" i="18"/>
  <c r="G131" i="18" s="1"/>
  <c r="J38" i="18"/>
  <c r="J52" i="18"/>
  <c r="J40" i="18"/>
  <c r="J59" i="18"/>
  <c r="H144" i="18" s="1"/>
  <c r="J53" i="18"/>
  <c r="J41" i="18"/>
  <c r="J47" i="18"/>
  <c r="H132" i="18" s="1"/>
  <c r="J54" i="18"/>
  <c r="J42" i="18"/>
  <c r="J45" i="18"/>
  <c r="H130" i="18" s="1"/>
  <c r="J60" i="18"/>
  <c r="G145" i="18" s="1"/>
  <c r="J55" i="18"/>
  <c r="J43" i="18"/>
  <c r="J57" i="18"/>
  <c r="G142" i="18" s="1"/>
  <c r="J61" i="18"/>
  <c r="G146" i="18" s="1"/>
  <c r="J56" i="18"/>
  <c r="J44" i="18"/>
  <c r="J51" i="18"/>
  <c r="J48" i="18"/>
  <c r="H133" i="18" s="1"/>
  <c r="J58" i="18"/>
  <c r="I143" i="18" s="1"/>
  <c r="J149" i="16"/>
  <c r="G149" i="16" s="1"/>
  <c r="J162" i="16"/>
  <c r="G162" i="16" s="1"/>
  <c r="J127" i="16"/>
  <c r="F127" i="16" s="1"/>
  <c r="J121" i="16"/>
  <c r="F129" i="16"/>
  <c r="F126" i="16"/>
  <c r="F130" i="16"/>
  <c r="I130" i="16"/>
  <c r="I128" i="16"/>
  <c r="H128" i="16"/>
  <c r="G128" i="16"/>
  <c r="F128" i="16"/>
  <c r="H130" i="16"/>
  <c r="G130" i="16"/>
  <c r="H129" i="16"/>
  <c r="H126" i="16"/>
  <c r="I129" i="16"/>
  <c r="G129" i="16"/>
  <c r="G126" i="16"/>
  <c r="I126" i="16"/>
  <c r="F41" i="5"/>
  <c r="F40" i="5"/>
  <c r="F39" i="5"/>
  <c r="F38" i="5"/>
  <c r="H160" i="16" l="1"/>
  <c r="F160" i="16"/>
  <c r="G148" i="16"/>
  <c r="H146" i="16"/>
  <c r="F161" i="16"/>
  <c r="F110" i="18"/>
  <c r="F159" i="16"/>
  <c r="I146" i="16"/>
  <c r="I149" i="16"/>
  <c r="G109" i="18"/>
  <c r="G161" i="16"/>
  <c r="F149" i="16"/>
  <c r="F146" i="16"/>
  <c r="H161" i="16"/>
  <c r="H149" i="16"/>
  <c r="I159" i="16"/>
  <c r="F109" i="18"/>
  <c r="H110" i="18"/>
  <c r="G112" i="18"/>
  <c r="F162" i="16"/>
  <c r="I111" i="18"/>
  <c r="H148" i="16"/>
  <c r="G110" i="18"/>
  <c r="F112" i="18"/>
  <c r="G159" i="16"/>
  <c r="F148" i="16"/>
  <c r="F143" i="18"/>
  <c r="I162" i="16"/>
  <c r="F146" i="18"/>
  <c r="G114" i="18"/>
  <c r="G111" i="18"/>
  <c r="I142" i="18"/>
  <c r="H146" i="18"/>
  <c r="I131" i="18"/>
  <c r="I109" i="18"/>
  <c r="H162" i="16"/>
  <c r="F144" i="18"/>
  <c r="F147" i="16"/>
  <c r="F130" i="18"/>
  <c r="I147" i="16"/>
  <c r="I130" i="18"/>
  <c r="I145" i="18"/>
  <c r="G147" i="16"/>
  <c r="G143" i="18"/>
  <c r="I146" i="18"/>
  <c r="I132" i="18"/>
  <c r="G132" i="18"/>
  <c r="H113" i="18"/>
  <c r="I113" i="18"/>
  <c r="F133" i="18"/>
  <c r="F113" i="18"/>
  <c r="F111" i="18"/>
  <c r="I112" i="18"/>
  <c r="F114" i="18"/>
  <c r="I144" i="18"/>
  <c r="G144" i="18"/>
  <c r="G130" i="18"/>
  <c r="H142" i="18"/>
  <c r="F132" i="18"/>
  <c r="G133" i="18"/>
  <c r="H114" i="18"/>
  <c r="I133" i="18"/>
  <c r="G160" i="16"/>
  <c r="H145" i="18"/>
  <c r="F142" i="18"/>
  <c r="H131" i="18"/>
  <c r="F145" i="18"/>
  <c r="F131" i="18"/>
  <c r="H143" i="18"/>
  <c r="H127" i="16"/>
  <c r="G127" i="16"/>
  <c r="I127" i="16"/>
  <c r="J186" i="16"/>
  <c r="J185" i="16"/>
  <c r="J197" i="16"/>
  <c r="J173" i="16"/>
  <c r="J196" i="16"/>
  <c r="J172" i="16"/>
  <c r="J182" i="16"/>
  <c r="J171" i="16"/>
  <c r="J181" i="16"/>
  <c r="J170" i="16"/>
  <c r="J193" i="16"/>
  <c r="J169" i="16"/>
  <c r="J179" i="16"/>
  <c r="J168" i="16"/>
  <c r="J136" i="16"/>
  <c r="J191" i="16"/>
  <c r="J167" i="16"/>
  <c r="J135" i="16"/>
  <c r="J177" i="16"/>
  <c r="J166" i="16"/>
  <c r="J134" i="16"/>
  <c r="J175" i="16"/>
  <c r="J132" i="16"/>
  <c r="J187" i="16"/>
  <c r="J163" i="16"/>
  <c r="C12" i="43"/>
  <c r="F68" i="5"/>
  <c r="E16" i="4"/>
  <c r="E17" i="4" s="1"/>
  <c r="H19" i="14" s="1"/>
  <c r="J15" i="40" s="1"/>
  <c r="M59" i="40"/>
  <c r="M58" i="40"/>
  <c r="M57" i="40"/>
  <c r="M56" i="40"/>
  <c r="M55" i="40"/>
  <c r="M54" i="40"/>
  <c r="F52" i="1"/>
  <c r="G52" i="1"/>
  <c r="K52" i="1"/>
  <c r="C52" i="1"/>
  <c r="D10" i="41" s="1"/>
  <c r="C40" i="37"/>
  <c r="F91" i="5" s="1"/>
  <c r="S17" i="37"/>
  <c r="T17" i="37" s="1"/>
  <c r="S18" i="37"/>
  <c r="T18" i="37" s="1"/>
  <c r="S19" i="37"/>
  <c r="T19" i="37" s="1"/>
  <c r="S20" i="37"/>
  <c r="T20" i="37"/>
  <c r="S21" i="37"/>
  <c r="T21" i="37"/>
  <c r="S22" i="37"/>
  <c r="T22" i="37" s="1"/>
  <c r="S23" i="37"/>
  <c r="T23" i="37" s="1"/>
  <c r="S24" i="37"/>
  <c r="T24" i="37" s="1"/>
  <c r="S25" i="37"/>
  <c r="T25" i="37" s="1"/>
  <c r="D5" i="39"/>
  <c r="D6" i="39"/>
  <c r="D7" i="39"/>
  <c r="D8" i="39"/>
  <c r="D9" i="39"/>
  <c r="D10" i="39"/>
  <c r="E10" i="39" s="1"/>
  <c r="F10" i="39" s="1"/>
  <c r="D11" i="39"/>
  <c r="D12" i="39"/>
  <c r="D13" i="39"/>
  <c r="E13" i="39" s="1"/>
  <c r="F13" i="39" s="1"/>
  <c r="D14" i="39"/>
  <c r="D15" i="39"/>
  <c r="D16" i="39"/>
  <c r="D17" i="39"/>
  <c r="D18" i="39"/>
  <c r="D19" i="39"/>
  <c r="D20" i="39"/>
  <c r="E20" i="39" s="1"/>
  <c r="F20" i="39" s="1"/>
  <c r="D21" i="39"/>
  <c r="H8" i="14"/>
  <c r="J30" i="40" s="1"/>
  <c r="D11" i="1"/>
  <c r="H5" i="25" s="1"/>
  <c r="H8" i="41"/>
  <c r="H11" i="41"/>
  <c r="H13" i="41"/>
  <c r="H14" i="41"/>
  <c r="H18" i="41"/>
  <c r="F8" i="41"/>
  <c r="C10" i="39" s="1"/>
  <c r="F11" i="41"/>
  <c r="C13" i="39" s="1"/>
  <c r="F13" i="41"/>
  <c r="C15" i="39" s="1"/>
  <c r="E15" i="39" s="1"/>
  <c r="F15" i="39" s="1"/>
  <c r="F14" i="41"/>
  <c r="C16" i="39" s="1"/>
  <c r="F18" i="41"/>
  <c r="C20" i="39" s="1"/>
  <c r="C44" i="10"/>
  <c r="C66" i="10" s="1"/>
  <c r="Q16" i="2"/>
  <c r="D55" i="11"/>
  <c r="D56" i="11"/>
  <c r="D57" i="11"/>
  <c r="D58" i="11"/>
  <c r="D59" i="11"/>
  <c r="D60" i="11"/>
  <c r="D54" i="11"/>
  <c r="D32" i="11"/>
  <c r="E32" i="11" s="1"/>
  <c r="H7" i="44"/>
  <c r="F97" i="18"/>
  <c r="G97" i="18"/>
  <c r="H97" i="18"/>
  <c r="I97" i="18"/>
  <c r="F98" i="18"/>
  <c r="G98" i="18"/>
  <c r="H98" i="18"/>
  <c r="I98" i="18"/>
  <c r="F84" i="18"/>
  <c r="G84" i="18"/>
  <c r="H84" i="18"/>
  <c r="I84" i="18"/>
  <c r="F85" i="18"/>
  <c r="G85" i="18"/>
  <c r="H85" i="18"/>
  <c r="I85" i="18"/>
  <c r="F44" i="18"/>
  <c r="F129" i="18" s="1"/>
  <c r="G44" i="18"/>
  <c r="G129" i="18" s="1"/>
  <c r="H44" i="18"/>
  <c r="H129" i="18" s="1"/>
  <c r="I44" i="18"/>
  <c r="I129" i="18" s="1"/>
  <c r="F114" i="16"/>
  <c r="G114" i="16"/>
  <c r="H114" i="16"/>
  <c r="I114" i="16"/>
  <c r="F115" i="16"/>
  <c r="G115" i="16"/>
  <c r="H115" i="16"/>
  <c r="I115" i="16"/>
  <c r="F101" i="16"/>
  <c r="G101" i="16"/>
  <c r="H101" i="16"/>
  <c r="I101" i="16"/>
  <c r="F102" i="16"/>
  <c r="G102" i="16"/>
  <c r="H102" i="16"/>
  <c r="I102" i="16"/>
  <c r="M53" i="40"/>
  <c r="M60" i="40" s="1"/>
  <c r="H9" i="21"/>
  <c r="H32" i="14"/>
  <c r="J44" i="40"/>
  <c r="H27" i="14"/>
  <c r="D58" i="12"/>
  <c r="R113" i="3" s="1"/>
  <c r="E7" i="13" s="1"/>
  <c r="D26" i="12"/>
  <c r="D37" i="12" s="1"/>
  <c r="C46" i="10"/>
  <c r="C68" i="10"/>
  <c r="C43" i="10"/>
  <c r="C65" i="10"/>
  <c r="C21" i="43"/>
  <c r="C27" i="43"/>
  <c r="C45" i="43"/>
  <c r="H24" i="14"/>
  <c r="J20" i="40" s="1"/>
  <c r="H26" i="14"/>
  <c r="J21" i="40" s="1"/>
  <c r="H25" i="14"/>
  <c r="J22" i="40" s="1"/>
  <c r="H7" i="14"/>
  <c r="J29" i="40" s="1"/>
  <c r="H17" i="17"/>
  <c r="Q26" i="2"/>
  <c r="D32" i="37"/>
  <c r="C32" i="37"/>
  <c r="B32" i="37"/>
  <c r="F36" i="16"/>
  <c r="F44" i="10"/>
  <c r="F66" i="10"/>
  <c r="F45" i="10"/>
  <c r="F67" i="10"/>
  <c r="F46" i="10"/>
  <c r="F68" i="10"/>
  <c r="F47" i="10"/>
  <c r="F69" i="10"/>
  <c r="F48" i="10"/>
  <c r="F70" i="10"/>
  <c r="F49" i="10"/>
  <c r="F71" i="10"/>
  <c r="F43" i="10"/>
  <c r="F65" i="10"/>
  <c r="E44" i="10"/>
  <c r="E66" i="10"/>
  <c r="E45" i="10"/>
  <c r="E67" i="10"/>
  <c r="E46" i="10"/>
  <c r="E68" i="10"/>
  <c r="E47" i="10"/>
  <c r="E69" i="10"/>
  <c r="E48" i="10"/>
  <c r="E70" i="10"/>
  <c r="E49" i="10"/>
  <c r="E71" i="10"/>
  <c r="E43" i="10"/>
  <c r="E65" i="10"/>
  <c r="D44" i="10"/>
  <c r="D66" i="10"/>
  <c r="D45" i="10"/>
  <c r="D67" i="10"/>
  <c r="D46" i="10"/>
  <c r="D68" i="10"/>
  <c r="D47" i="10"/>
  <c r="D69" i="10"/>
  <c r="D48" i="10"/>
  <c r="D70" i="10"/>
  <c r="D49" i="10"/>
  <c r="D71" i="10"/>
  <c r="D43" i="10"/>
  <c r="D65" i="10"/>
  <c r="C45" i="10"/>
  <c r="C67" i="10"/>
  <c r="C47" i="10"/>
  <c r="C69" i="10"/>
  <c r="C48" i="10"/>
  <c r="C70" i="10"/>
  <c r="C49" i="10"/>
  <c r="C71" i="10"/>
  <c r="E54" i="12"/>
  <c r="E53" i="12"/>
  <c r="E48" i="12"/>
  <c r="F48" i="12"/>
  <c r="G48" i="12"/>
  <c r="E50" i="12"/>
  <c r="G50" i="12"/>
  <c r="E51" i="12"/>
  <c r="G51" i="12"/>
  <c r="E52" i="12"/>
  <c r="G52" i="12"/>
  <c r="E49" i="12"/>
  <c r="G49" i="12"/>
  <c r="D49" i="11"/>
  <c r="G54" i="12"/>
  <c r="F54" i="12"/>
  <c r="D48" i="11"/>
  <c r="G53" i="12"/>
  <c r="F53" i="12"/>
  <c r="D47" i="11"/>
  <c r="F52" i="12"/>
  <c r="D46" i="11"/>
  <c r="D51" i="12" s="1"/>
  <c r="D45" i="11"/>
  <c r="D50" i="12" s="1"/>
  <c r="D44" i="11"/>
  <c r="D49" i="12"/>
  <c r="F49" i="12"/>
  <c r="D43" i="11"/>
  <c r="D48" i="12" s="1"/>
  <c r="F213" i="16" s="1"/>
  <c r="E5" i="32"/>
  <c r="D10" i="32" s="1"/>
  <c r="I96" i="18"/>
  <c r="H96" i="18"/>
  <c r="G96" i="18"/>
  <c r="F96" i="18"/>
  <c r="I95" i="18"/>
  <c r="H95" i="18"/>
  <c r="G95" i="18"/>
  <c r="F95" i="18"/>
  <c r="I94" i="18"/>
  <c r="H94" i="18"/>
  <c r="G94" i="18"/>
  <c r="F94" i="18"/>
  <c r="I93" i="18"/>
  <c r="H93" i="18"/>
  <c r="G93" i="18"/>
  <c r="F93" i="18"/>
  <c r="I92" i="18"/>
  <c r="H92" i="18"/>
  <c r="G92" i="18"/>
  <c r="F92" i="18"/>
  <c r="I91" i="18"/>
  <c r="H91" i="18"/>
  <c r="G91" i="18"/>
  <c r="F91" i="18"/>
  <c r="I90" i="18"/>
  <c r="H90" i="18"/>
  <c r="G90" i="18"/>
  <c r="F90" i="18"/>
  <c r="I89" i="18"/>
  <c r="H89" i="18"/>
  <c r="G89" i="18"/>
  <c r="F89" i="18"/>
  <c r="I88" i="18"/>
  <c r="H88" i="18"/>
  <c r="G88" i="18"/>
  <c r="F88" i="18"/>
  <c r="I87" i="18"/>
  <c r="H87" i="18"/>
  <c r="G87" i="18"/>
  <c r="F87" i="18"/>
  <c r="I86" i="18"/>
  <c r="I171" i="18" s="1"/>
  <c r="H86" i="18"/>
  <c r="H171" i="18" s="1"/>
  <c r="G86" i="18"/>
  <c r="G171" i="18" s="1"/>
  <c r="F86" i="18"/>
  <c r="F171" i="18" s="1"/>
  <c r="I83" i="18"/>
  <c r="H83" i="18"/>
  <c r="G83" i="18"/>
  <c r="F83" i="18"/>
  <c r="I82" i="18"/>
  <c r="H82" i="18"/>
  <c r="G82" i="18"/>
  <c r="F82" i="18"/>
  <c r="I81" i="18"/>
  <c r="H81" i="18"/>
  <c r="G81" i="18"/>
  <c r="F81" i="18"/>
  <c r="I80" i="18"/>
  <c r="H80" i="18"/>
  <c r="G80" i="18"/>
  <c r="F80" i="18"/>
  <c r="I79" i="18"/>
  <c r="H79" i="18"/>
  <c r="G79" i="18"/>
  <c r="F79" i="18"/>
  <c r="I78" i="18"/>
  <c r="H78" i="18"/>
  <c r="G78" i="18"/>
  <c r="F78" i="18"/>
  <c r="I77" i="18"/>
  <c r="H77" i="18"/>
  <c r="G77" i="18"/>
  <c r="F77" i="18"/>
  <c r="I76" i="18"/>
  <c r="H76" i="18"/>
  <c r="G76" i="18"/>
  <c r="F76" i="18"/>
  <c r="I75" i="18"/>
  <c r="H75" i="18"/>
  <c r="G75" i="18"/>
  <c r="F75" i="18"/>
  <c r="I74" i="18"/>
  <c r="H74" i="18"/>
  <c r="G74" i="18"/>
  <c r="F74" i="18"/>
  <c r="I73" i="18"/>
  <c r="I158" i="18" s="1"/>
  <c r="H73" i="18"/>
  <c r="H158" i="18" s="1"/>
  <c r="G73" i="18"/>
  <c r="G158" i="18" s="1"/>
  <c r="F73" i="18"/>
  <c r="F158" i="18" s="1"/>
  <c r="I72" i="18"/>
  <c r="H72" i="18"/>
  <c r="G72" i="18"/>
  <c r="F72" i="18"/>
  <c r="I71" i="18"/>
  <c r="H71" i="18"/>
  <c r="G71" i="18"/>
  <c r="F71" i="18"/>
  <c r="I70" i="18"/>
  <c r="H70" i="18"/>
  <c r="G70" i="18"/>
  <c r="F70" i="18"/>
  <c r="I69" i="18"/>
  <c r="H69" i="18"/>
  <c r="G69" i="18"/>
  <c r="F69" i="18"/>
  <c r="I68" i="18"/>
  <c r="H68" i="18"/>
  <c r="G68" i="18"/>
  <c r="F68" i="18"/>
  <c r="I67" i="18"/>
  <c r="H67" i="18"/>
  <c r="G67" i="18"/>
  <c r="F67" i="18"/>
  <c r="I66" i="18"/>
  <c r="H66" i="18"/>
  <c r="G66" i="18"/>
  <c r="F66" i="18"/>
  <c r="I65" i="18"/>
  <c r="H65" i="18"/>
  <c r="G65" i="18"/>
  <c r="F65" i="18"/>
  <c r="I64" i="18"/>
  <c r="H64" i="18"/>
  <c r="G64" i="18"/>
  <c r="F64" i="18"/>
  <c r="I63" i="18"/>
  <c r="H63" i="18"/>
  <c r="G63" i="18"/>
  <c r="F63" i="18"/>
  <c r="I62" i="18"/>
  <c r="I147" i="18" s="1"/>
  <c r="H62" i="18"/>
  <c r="H147" i="18" s="1"/>
  <c r="G62" i="18"/>
  <c r="G147" i="18" s="1"/>
  <c r="F62" i="18"/>
  <c r="F147" i="18" s="1"/>
  <c r="I56" i="18"/>
  <c r="H56" i="18"/>
  <c r="G56" i="18"/>
  <c r="F56" i="18"/>
  <c r="I55" i="18"/>
  <c r="H55" i="18"/>
  <c r="G55" i="18"/>
  <c r="F55" i="18"/>
  <c r="I54" i="18"/>
  <c r="H54" i="18"/>
  <c r="G54" i="18"/>
  <c r="F54" i="18"/>
  <c r="I53" i="18"/>
  <c r="H53" i="18"/>
  <c r="G53" i="18"/>
  <c r="F53" i="18"/>
  <c r="I52" i="18"/>
  <c r="H52" i="18"/>
  <c r="G52" i="18"/>
  <c r="F52" i="18"/>
  <c r="I51" i="18"/>
  <c r="H51" i="18"/>
  <c r="G51" i="18"/>
  <c r="F51" i="18"/>
  <c r="I50" i="18"/>
  <c r="H50" i="18"/>
  <c r="G50" i="18"/>
  <c r="F50" i="18"/>
  <c r="I49" i="18"/>
  <c r="I134" i="18" s="1"/>
  <c r="H49" i="18"/>
  <c r="H134" i="18" s="1"/>
  <c r="G49" i="18"/>
  <c r="G134" i="18" s="1"/>
  <c r="F49" i="18"/>
  <c r="F134" i="18" s="1"/>
  <c r="I43" i="18"/>
  <c r="H43" i="18"/>
  <c r="G43" i="18"/>
  <c r="F43" i="18"/>
  <c r="I42" i="18"/>
  <c r="H42" i="18"/>
  <c r="G42" i="18"/>
  <c r="F42" i="18"/>
  <c r="I41" i="18"/>
  <c r="H41" i="18"/>
  <c r="G41" i="18"/>
  <c r="F41" i="18"/>
  <c r="I40" i="18"/>
  <c r="H40" i="18"/>
  <c r="G40" i="18"/>
  <c r="F40" i="18"/>
  <c r="I39" i="18"/>
  <c r="H39" i="18"/>
  <c r="G39" i="18"/>
  <c r="F39" i="18"/>
  <c r="I38" i="18"/>
  <c r="H38" i="18"/>
  <c r="G38" i="18"/>
  <c r="F38" i="18"/>
  <c r="I37" i="18"/>
  <c r="H37" i="18"/>
  <c r="G37" i="18"/>
  <c r="F37" i="18"/>
  <c r="I36" i="18"/>
  <c r="I121" i="18" s="1"/>
  <c r="H36" i="18"/>
  <c r="H121" i="18" s="1"/>
  <c r="G36" i="18"/>
  <c r="G121" i="18" s="1"/>
  <c r="F36" i="18"/>
  <c r="F121" i="18" s="1"/>
  <c r="I35" i="18"/>
  <c r="H35" i="18"/>
  <c r="G35" i="18"/>
  <c r="F35" i="18"/>
  <c r="I34" i="18"/>
  <c r="H34" i="18"/>
  <c r="G34" i="18"/>
  <c r="F34" i="18"/>
  <c r="I33" i="18"/>
  <c r="H33" i="18"/>
  <c r="G33" i="18"/>
  <c r="F33" i="18"/>
  <c r="I32" i="18"/>
  <c r="H32" i="18"/>
  <c r="G32" i="18"/>
  <c r="F32" i="18"/>
  <c r="I31" i="18"/>
  <c r="H31" i="18"/>
  <c r="G31" i="18"/>
  <c r="F31" i="18"/>
  <c r="I30" i="18"/>
  <c r="I115" i="18" s="1"/>
  <c r="H30" i="18"/>
  <c r="H115" i="18" s="1"/>
  <c r="G30" i="18"/>
  <c r="G115" i="18" s="1"/>
  <c r="F30" i="18"/>
  <c r="F115" i="18" s="1"/>
  <c r="I23" i="18"/>
  <c r="H23" i="18"/>
  <c r="G23" i="18"/>
  <c r="F23" i="18"/>
  <c r="I22" i="18"/>
  <c r="H22" i="18"/>
  <c r="G22" i="18"/>
  <c r="F22" i="18"/>
  <c r="I21" i="18"/>
  <c r="H21" i="18"/>
  <c r="G21" i="18"/>
  <c r="F21" i="18"/>
  <c r="I20" i="18"/>
  <c r="H20" i="18"/>
  <c r="G20" i="18"/>
  <c r="F20" i="18"/>
  <c r="I19" i="18"/>
  <c r="I104" i="18" s="1"/>
  <c r="H19" i="18"/>
  <c r="H104" i="18" s="1"/>
  <c r="G19" i="18"/>
  <c r="G104" i="18" s="1"/>
  <c r="F19" i="18"/>
  <c r="F104" i="18" s="1"/>
  <c r="I113" i="16"/>
  <c r="H113" i="16"/>
  <c r="G113" i="16"/>
  <c r="F113" i="16"/>
  <c r="I112" i="16"/>
  <c r="H112" i="16"/>
  <c r="G112" i="16"/>
  <c r="F112" i="16"/>
  <c r="I111" i="16"/>
  <c r="H111" i="16"/>
  <c r="G111" i="16"/>
  <c r="F111" i="16"/>
  <c r="I110" i="16"/>
  <c r="H110" i="16"/>
  <c r="G110" i="16"/>
  <c r="F110" i="16"/>
  <c r="I109" i="16"/>
  <c r="H109" i="16"/>
  <c r="G109" i="16"/>
  <c r="F109" i="16"/>
  <c r="I108" i="16"/>
  <c r="H108" i="16"/>
  <c r="G108" i="16"/>
  <c r="F108" i="16"/>
  <c r="I107" i="16"/>
  <c r="H107" i="16"/>
  <c r="G107" i="16"/>
  <c r="F107" i="16"/>
  <c r="I106" i="16"/>
  <c r="H106" i="16"/>
  <c r="G106" i="16"/>
  <c r="F106" i="16"/>
  <c r="I105" i="16"/>
  <c r="H105" i="16"/>
  <c r="G105" i="16"/>
  <c r="F105" i="16"/>
  <c r="I104" i="16"/>
  <c r="H104" i="16"/>
  <c r="G104" i="16"/>
  <c r="F104" i="16"/>
  <c r="I103" i="16"/>
  <c r="H103" i="16"/>
  <c r="G103" i="16"/>
  <c r="F103" i="16"/>
  <c r="I100" i="16"/>
  <c r="H100" i="16"/>
  <c r="G100" i="16"/>
  <c r="F100" i="16"/>
  <c r="I99" i="16"/>
  <c r="H99" i="16"/>
  <c r="G99" i="16"/>
  <c r="F99" i="16"/>
  <c r="I98" i="16"/>
  <c r="H98" i="16"/>
  <c r="G98" i="16"/>
  <c r="F98" i="16"/>
  <c r="I97" i="16"/>
  <c r="H97" i="16"/>
  <c r="G97" i="16"/>
  <c r="F97" i="16"/>
  <c r="I96" i="16"/>
  <c r="H96" i="16"/>
  <c r="G96" i="16"/>
  <c r="F96" i="16"/>
  <c r="I95" i="16"/>
  <c r="H95" i="16"/>
  <c r="G95" i="16"/>
  <c r="F95" i="16"/>
  <c r="I94" i="16"/>
  <c r="H94" i="16"/>
  <c r="G94" i="16"/>
  <c r="F94" i="16"/>
  <c r="I93" i="16"/>
  <c r="H93" i="16"/>
  <c r="G93" i="16"/>
  <c r="F93" i="16"/>
  <c r="I92" i="16"/>
  <c r="H92" i="16"/>
  <c r="G92" i="16"/>
  <c r="F92" i="16"/>
  <c r="I91" i="16"/>
  <c r="H91" i="16"/>
  <c r="G91" i="16"/>
  <c r="F91" i="16"/>
  <c r="I90" i="16"/>
  <c r="H90" i="16"/>
  <c r="G90" i="16"/>
  <c r="F90" i="16"/>
  <c r="I89" i="16"/>
  <c r="H89" i="16"/>
  <c r="G89" i="16"/>
  <c r="F89" i="16"/>
  <c r="I88" i="16"/>
  <c r="H88" i="16"/>
  <c r="G88" i="16"/>
  <c r="F88" i="16"/>
  <c r="I87" i="16"/>
  <c r="H87" i="16"/>
  <c r="G87" i="16"/>
  <c r="F87" i="16"/>
  <c r="I86" i="16"/>
  <c r="H86" i="16"/>
  <c r="G86" i="16"/>
  <c r="F86" i="16"/>
  <c r="I85" i="16"/>
  <c r="H85" i="16"/>
  <c r="G85" i="16"/>
  <c r="F85" i="16"/>
  <c r="I84" i="16"/>
  <c r="H84" i="16"/>
  <c r="G84" i="16"/>
  <c r="F84" i="16"/>
  <c r="I83" i="16"/>
  <c r="H83" i="16"/>
  <c r="G83" i="16"/>
  <c r="F83" i="16"/>
  <c r="I82" i="16"/>
  <c r="H82" i="16"/>
  <c r="G82" i="16"/>
  <c r="F82" i="16"/>
  <c r="I81" i="16"/>
  <c r="H81" i="16"/>
  <c r="G81" i="16"/>
  <c r="F81" i="16"/>
  <c r="I80" i="16"/>
  <c r="H80" i="16"/>
  <c r="G80" i="16"/>
  <c r="F80" i="16"/>
  <c r="I79" i="16"/>
  <c r="H79" i="16"/>
  <c r="G79" i="16"/>
  <c r="F79" i="16"/>
  <c r="I73" i="16"/>
  <c r="H73" i="16"/>
  <c r="G73" i="16"/>
  <c r="F73" i="16"/>
  <c r="I72" i="16"/>
  <c r="H72" i="16"/>
  <c r="G72" i="16"/>
  <c r="F72" i="16"/>
  <c r="I71" i="16"/>
  <c r="H71" i="16"/>
  <c r="G71" i="16"/>
  <c r="F71" i="16"/>
  <c r="I70" i="16"/>
  <c r="H70" i="16"/>
  <c r="G70" i="16"/>
  <c r="F70" i="16"/>
  <c r="I69" i="16"/>
  <c r="H69" i="16"/>
  <c r="G69" i="16"/>
  <c r="F69" i="16"/>
  <c r="I68" i="16"/>
  <c r="H68" i="16"/>
  <c r="G68" i="16"/>
  <c r="F68" i="16"/>
  <c r="I67" i="16"/>
  <c r="H67" i="16"/>
  <c r="G67" i="16"/>
  <c r="F67" i="16"/>
  <c r="I66" i="16"/>
  <c r="H66" i="16"/>
  <c r="G66" i="16"/>
  <c r="F66" i="16"/>
  <c r="I55" i="16"/>
  <c r="H55" i="16"/>
  <c r="G55" i="16"/>
  <c r="F55" i="16"/>
  <c r="I54" i="16"/>
  <c r="H54" i="16"/>
  <c r="G54" i="16"/>
  <c r="F54" i="16"/>
  <c r="I53" i="16"/>
  <c r="H53" i="16"/>
  <c r="G53" i="16"/>
  <c r="F53" i="16"/>
  <c r="I52" i="16"/>
  <c r="H52" i="16"/>
  <c r="G52" i="16"/>
  <c r="F52" i="16"/>
  <c r="I51" i="16"/>
  <c r="H51" i="16"/>
  <c r="G51" i="16"/>
  <c r="F51" i="16"/>
  <c r="I50" i="16"/>
  <c r="H50" i="16"/>
  <c r="G50" i="16"/>
  <c r="F50" i="16"/>
  <c r="I49" i="16"/>
  <c r="H49" i="16"/>
  <c r="G49" i="16"/>
  <c r="F49" i="16"/>
  <c r="I48" i="16"/>
  <c r="H48" i="16"/>
  <c r="G48" i="16"/>
  <c r="F48" i="16"/>
  <c r="I47" i="16"/>
  <c r="H47" i="16"/>
  <c r="G47" i="16"/>
  <c r="F47" i="16"/>
  <c r="I41" i="16"/>
  <c r="H41" i="16"/>
  <c r="G41" i="16"/>
  <c r="F41" i="16"/>
  <c r="I40" i="16"/>
  <c r="H40" i="16"/>
  <c r="G40" i="16"/>
  <c r="F40" i="16"/>
  <c r="I39" i="16"/>
  <c r="H39" i="16"/>
  <c r="G39" i="16"/>
  <c r="F39" i="16"/>
  <c r="I38" i="16"/>
  <c r="H38" i="16"/>
  <c r="G38" i="16"/>
  <c r="F38" i="16"/>
  <c r="I37" i="16"/>
  <c r="H37" i="16"/>
  <c r="G37" i="16"/>
  <c r="F37" i="16"/>
  <c r="I36" i="16"/>
  <c r="H36" i="16"/>
  <c r="G36" i="16"/>
  <c r="D38" i="11"/>
  <c r="E38" i="11" s="1"/>
  <c r="D37" i="11"/>
  <c r="E37" i="11" s="1"/>
  <c r="E59" i="11" s="1"/>
  <c r="D36" i="11"/>
  <c r="E36" i="11" s="1"/>
  <c r="D35" i="11"/>
  <c r="E35" i="11" s="1"/>
  <c r="D34" i="11"/>
  <c r="E34" i="11" s="1"/>
  <c r="D33" i="11"/>
  <c r="E33" i="11" s="1"/>
  <c r="E55" i="11" s="1"/>
  <c r="L52" i="1"/>
  <c r="J52" i="1"/>
  <c r="H31" i="14"/>
  <c r="J43" i="40" s="1"/>
  <c r="H30" i="14"/>
  <c r="J42" i="40" s="1"/>
  <c r="E26" i="12"/>
  <c r="E37" i="12" s="1"/>
  <c r="F26" i="12"/>
  <c r="F37" i="12" s="1"/>
  <c r="G26" i="12"/>
  <c r="G37" i="12" s="1"/>
  <c r="E27" i="12"/>
  <c r="E38" i="12" s="1"/>
  <c r="F27" i="12"/>
  <c r="F38" i="12" s="1"/>
  <c r="G27" i="12"/>
  <c r="G38" i="12" s="1"/>
  <c r="E28" i="12"/>
  <c r="E39" i="12" s="1"/>
  <c r="F28" i="12"/>
  <c r="F39" i="12" s="1"/>
  <c r="G28" i="12"/>
  <c r="G39" i="12" s="1"/>
  <c r="E29" i="12"/>
  <c r="E40" i="12" s="1"/>
  <c r="F29" i="12"/>
  <c r="F40" i="12" s="1"/>
  <c r="G29" i="12"/>
  <c r="G40" i="12" s="1"/>
  <c r="E30" i="12"/>
  <c r="E41" i="12" s="1"/>
  <c r="F30" i="12"/>
  <c r="F41" i="12" s="1"/>
  <c r="G30" i="12"/>
  <c r="G41" i="12" s="1"/>
  <c r="E31" i="12"/>
  <c r="E42" i="12" s="1"/>
  <c r="F31" i="12"/>
  <c r="F42" i="12" s="1"/>
  <c r="G31" i="12"/>
  <c r="G42" i="12" s="1"/>
  <c r="E32" i="12"/>
  <c r="E43" i="12" s="1"/>
  <c r="F32" i="12"/>
  <c r="F43" i="12" s="1"/>
  <c r="G32" i="12"/>
  <c r="G43" i="12" s="1"/>
  <c r="D27" i="12"/>
  <c r="D38" i="12" s="1"/>
  <c r="D28" i="12"/>
  <c r="D39" i="12" s="1"/>
  <c r="D29" i="12"/>
  <c r="D40" i="12" s="1"/>
  <c r="D30" i="12"/>
  <c r="D41" i="12" s="1"/>
  <c r="D31" i="12"/>
  <c r="D42" i="12" s="1"/>
  <c r="D32" i="12"/>
  <c r="D43" i="12" s="1"/>
  <c r="S16" i="2"/>
  <c r="R16" i="2"/>
  <c r="Q17" i="2"/>
  <c r="R17" i="2"/>
  <c r="S17" i="2"/>
  <c r="Q18" i="2"/>
  <c r="R18" i="2"/>
  <c r="S18" i="2"/>
  <c r="Q19" i="2"/>
  <c r="R19" i="2"/>
  <c r="S19" i="2"/>
  <c r="Q20" i="2"/>
  <c r="R20" i="2"/>
  <c r="S20" i="2"/>
  <c r="Q21" i="2"/>
  <c r="R21" i="2"/>
  <c r="S21" i="2"/>
  <c r="Q22" i="2"/>
  <c r="R22" i="2"/>
  <c r="S22" i="2"/>
  <c r="Q23" i="2"/>
  <c r="R23" i="2"/>
  <c r="S23" i="2"/>
  <c r="Q24" i="2"/>
  <c r="R24" i="2"/>
  <c r="S24" i="2"/>
  <c r="Q25" i="2"/>
  <c r="R25" i="2"/>
  <c r="S25" i="2"/>
  <c r="R26" i="2"/>
  <c r="S26" i="2"/>
  <c r="Q27" i="2"/>
  <c r="R27" i="2"/>
  <c r="S27" i="2"/>
  <c r="Q28" i="2"/>
  <c r="R28" i="2"/>
  <c r="S28" i="2"/>
  <c r="Q29" i="2"/>
  <c r="R29" i="2"/>
  <c r="S29" i="2"/>
  <c r="Q30" i="2"/>
  <c r="R30" i="2"/>
  <c r="S30" i="2"/>
  <c r="Q31" i="2"/>
  <c r="R31" i="2"/>
  <c r="S31" i="2"/>
  <c r="Q32" i="2"/>
  <c r="R32" i="2"/>
  <c r="S32" i="2"/>
  <c r="Q33" i="2"/>
  <c r="R33" i="2"/>
  <c r="S33" i="2"/>
  <c r="Q34" i="2"/>
  <c r="R34" i="2"/>
  <c r="S34" i="2"/>
  <c r="Q35" i="2"/>
  <c r="R35" i="2"/>
  <c r="S35" i="2"/>
  <c r="Q36" i="2"/>
  <c r="R36" i="2"/>
  <c r="S36" i="2"/>
  <c r="Q37" i="2"/>
  <c r="R37" i="2"/>
  <c r="S37" i="2"/>
  <c r="Q38" i="2"/>
  <c r="R38" i="2"/>
  <c r="S38" i="2"/>
  <c r="Q39" i="2"/>
  <c r="R39" i="2"/>
  <c r="S39" i="2"/>
  <c r="Q40" i="2"/>
  <c r="R40" i="2"/>
  <c r="S40" i="2"/>
  <c r="Q41" i="2"/>
  <c r="R41" i="2"/>
  <c r="S41" i="2"/>
  <c r="Q42" i="2"/>
  <c r="R42" i="2"/>
  <c r="S42" i="2"/>
  <c r="Q43" i="2"/>
  <c r="R43" i="2"/>
  <c r="S43" i="2"/>
  <c r="Q44" i="2"/>
  <c r="R44" i="2"/>
  <c r="S44" i="2"/>
  <c r="Q45" i="2"/>
  <c r="R45" i="2"/>
  <c r="S45" i="2"/>
  <c r="Q46" i="2"/>
  <c r="R46" i="2"/>
  <c r="S46" i="2"/>
  <c r="Q47" i="2"/>
  <c r="R47" i="2"/>
  <c r="S47" i="2"/>
  <c r="Q48" i="2"/>
  <c r="R48" i="2"/>
  <c r="S48" i="2"/>
  <c r="Q49" i="2"/>
  <c r="R49" i="2"/>
  <c r="S49" i="2"/>
  <c r="Q50" i="2"/>
  <c r="R50" i="2"/>
  <c r="S50" i="2"/>
  <c r="Q51" i="2"/>
  <c r="R51" i="2"/>
  <c r="S51" i="2"/>
  <c r="Q52" i="2"/>
  <c r="R52" i="2"/>
  <c r="S52" i="2"/>
  <c r="Q53" i="2"/>
  <c r="R53" i="2"/>
  <c r="S53" i="2"/>
  <c r="Q54" i="2"/>
  <c r="R54" i="2"/>
  <c r="S54" i="2"/>
  <c r="Q55" i="2"/>
  <c r="R55" i="2"/>
  <c r="S55" i="2"/>
  <c r="Q56" i="2"/>
  <c r="R56" i="2"/>
  <c r="S56" i="2"/>
  <c r="Q57" i="2"/>
  <c r="R57" i="2"/>
  <c r="S57" i="2"/>
  <c r="Q58" i="2"/>
  <c r="R58" i="2"/>
  <c r="S58" i="2"/>
  <c r="Q59" i="2"/>
  <c r="R59" i="2"/>
  <c r="S59" i="2"/>
  <c r="Q60" i="2"/>
  <c r="R60" i="2"/>
  <c r="S60" i="2"/>
  <c r="Q61" i="2"/>
  <c r="R61" i="2"/>
  <c r="S61" i="2"/>
  <c r="Q62" i="2"/>
  <c r="R62" i="2"/>
  <c r="S62" i="2"/>
  <c r="Q63" i="2"/>
  <c r="R63" i="2"/>
  <c r="S63" i="2"/>
  <c r="Q64" i="2"/>
  <c r="R64" i="2"/>
  <c r="S64" i="2"/>
  <c r="Q65" i="2"/>
  <c r="R65" i="2"/>
  <c r="S65" i="2"/>
  <c r="Q66" i="2"/>
  <c r="R66" i="2"/>
  <c r="S66" i="2"/>
  <c r="Q67" i="2"/>
  <c r="R67" i="2"/>
  <c r="S67" i="2"/>
  <c r="Q68" i="2"/>
  <c r="R68" i="2"/>
  <c r="S68" i="2"/>
  <c r="Q69" i="2"/>
  <c r="R69" i="2"/>
  <c r="S69" i="2"/>
  <c r="Q70" i="2"/>
  <c r="R70" i="2"/>
  <c r="S70" i="2"/>
  <c r="Q71" i="2"/>
  <c r="R71" i="2"/>
  <c r="S71" i="2"/>
  <c r="Q72" i="2"/>
  <c r="R72" i="2"/>
  <c r="S72" i="2"/>
  <c r="Q73" i="2"/>
  <c r="R73" i="2"/>
  <c r="S73" i="2"/>
  <c r="Q74" i="2"/>
  <c r="R74" i="2"/>
  <c r="S74" i="2"/>
  <c r="Q75" i="2"/>
  <c r="R75" i="2"/>
  <c r="S75" i="2"/>
  <c r="Q76" i="2"/>
  <c r="R76" i="2"/>
  <c r="S76" i="2"/>
  <c r="Q77" i="2"/>
  <c r="R77" i="2"/>
  <c r="S77" i="2"/>
  <c r="Q78" i="2"/>
  <c r="R78" i="2"/>
  <c r="S78" i="2"/>
  <c r="Q79" i="2"/>
  <c r="R79" i="2"/>
  <c r="S79" i="2"/>
  <c r="Q80" i="2"/>
  <c r="R80" i="2"/>
  <c r="S80" i="2"/>
  <c r="Q81" i="2"/>
  <c r="R81" i="2"/>
  <c r="S81" i="2"/>
  <c r="Q82" i="2"/>
  <c r="R82" i="2"/>
  <c r="S82" i="2"/>
  <c r="Q83" i="2"/>
  <c r="R83" i="2"/>
  <c r="S83" i="2"/>
  <c r="Q84" i="2"/>
  <c r="R84" i="2"/>
  <c r="S84" i="2"/>
  <c r="Q85" i="2"/>
  <c r="R85" i="2"/>
  <c r="S85" i="2"/>
  <c r="Q86" i="2"/>
  <c r="R86" i="2"/>
  <c r="S86" i="2"/>
  <c r="Q87" i="2"/>
  <c r="R87" i="2"/>
  <c r="S87" i="2"/>
  <c r="Q88" i="2"/>
  <c r="R88" i="2"/>
  <c r="S88" i="2"/>
  <c r="Q89" i="2"/>
  <c r="R89" i="2"/>
  <c r="S89" i="2"/>
  <c r="Q90" i="2"/>
  <c r="R90" i="2"/>
  <c r="S90" i="2"/>
  <c r="Q91" i="2"/>
  <c r="R91" i="2"/>
  <c r="S91" i="2"/>
  <c r="Q92" i="2"/>
  <c r="R92" i="2"/>
  <c r="S92" i="2"/>
  <c r="Q93" i="2"/>
  <c r="R93" i="2"/>
  <c r="S93" i="2"/>
  <c r="Q94" i="2"/>
  <c r="R94" i="2"/>
  <c r="S94" i="2"/>
  <c r="Q95" i="2"/>
  <c r="R95" i="2"/>
  <c r="S95" i="2"/>
  <c r="Q96" i="2"/>
  <c r="R96" i="2"/>
  <c r="S96" i="2"/>
  <c r="Q97" i="2"/>
  <c r="R97" i="2"/>
  <c r="S97" i="2"/>
  <c r="Q98" i="2"/>
  <c r="R98" i="2"/>
  <c r="S98" i="2"/>
  <c r="Q99" i="2"/>
  <c r="R99" i="2"/>
  <c r="S99" i="2"/>
  <c r="Q100" i="2"/>
  <c r="R100" i="2"/>
  <c r="S100" i="2"/>
  <c r="Q101" i="2"/>
  <c r="R101" i="2"/>
  <c r="S101" i="2"/>
  <c r="Q102" i="2"/>
  <c r="R102" i="2"/>
  <c r="S102" i="2"/>
  <c r="Q103" i="2"/>
  <c r="R103" i="2"/>
  <c r="S103" i="2"/>
  <c r="Q104" i="2"/>
  <c r="R104" i="2"/>
  <c r="S104" i="2"/>
  <c r="Q105" i="2"/>
  <c r="R105" i="2"/>
  <c r="S105" i="2"/>
  <c r="Q106" i="2"/>
  <c r="R106" i="2"/>
  <c r="S106" i="2"/>
  <c r="Q107" i="2"/>
  <c r="R107" i="2"/>
  <c r="S107" i="2"/>
  <c r="Q108" i="2"/>
  <c r="R108" i="2"/>
  <c r="S108" i="2"/>
  <c r="Q109" i="2"/>
  <c r="R109" i="2"/>
  <c r="S109" i="2"/>
  <c r="Q110" i="2"/>
  <c r="R110" i="2"/>
  <c r="S110" i="2"/>
  <c r="Q111" i="2"/>
  <c r="R111" i="2"/>
  <c r="S111" i="2"/>
  <c r="Q112" i="2"/>
  <c r="R112" i="2"/>
  <c r="S112" i="2"/>
  <c r="Q113" i="2"/>
  <c r="R113" i="2"/>
  <c r="S113" i="2"/>
  <c r="Q114" i="2"/>
  <c r="R114" i="2"/>
  <c r="S114" i="2"/>
  <c r="Q115" i="2"/>
  <c r="R115" i="2"/>
  <c r="S115" i="2"/>
  <c r="D52" i="1"/>
  <c r="E52" i="1"/>
  <c r="I52" i="1"/>
  <c r="H52" i="1"/>
  <c r="E9" i="4"/>
  <c r="D53" i="12"/>
  <c r="D54" i="12"/>
  <c r="F10" i="30"/>
  <c r="F50" i="12"/>
  <c r="D52" i="12"/>
  <c r="J23" i="40"/>
  <c r="L23" i="40" s="1"/>
  <c r="K21" i="40"/>
  <c r="J133" i="16"/>
  <c r="K44" i="40"/>
  <c r="L44" i="40"/>
  <c r="L21" i="40"/>
  <c r="K43" i="40" l="1"/>
  <c r="L43" i="40"/>
  <c r="E16" i="39"/>
  <c r="F16" i="39" s="1"/>
  <c r="E60" i="11"/>
  <c r="F51" i="12"/>
  <c r="F211" i="16"/>
  <c r="F214" i="16"/>
  <c r="F212" i="16"/>
  <c r="F210" i="16"/>
  <c r="F233" i="16"/>
  <c r="E7" i="4"/>
  <c r="E11" i="4" s="1"/>
  <c r="D9" i="41"/>
  <c r="H9" i="41" s="1"/>
  <c r="F230" i="16"/>
  <c r="F231" i="16"/>
  <c r="F232" i="16"/>
  <c r="D7" i="19"/>
  <c r="H14" i="14" s="1"/>
  <c r="J37" i="40" s="1"/>
  <c r="F8" i="30"/>
  <c r="F9" i="30"/>
  <c r="D17" i="17"/>
  <c r="F246" i="16"/>
  <c r="D7" i="31"/>
  <c r="F243" i="16"/>
  <c r="F245" i="16"/>
  <c r="F31" i="5"/>
  <c r="D26" i="17"/>
  <c r="H6" i="14" s="1"/>
  <c r="J28" i="40" s="1"/>
  <c r="K28" i="40" s="1"/>
  <c r="F244" i="16"/>
  <c r="D13" i="17"/>
  <c r="H5" i="14" s="1"/>
  <c r="J27" i="40" s="1"/>
  <c r="L27" i="40" s="1"/>
  <c r="L30" i="40"/>
  <c r="K30" i="40"/>
  <c r="I169" i="16"/>
  <c r="I253" i="16" s="1"/>
  <c r="E18" i="4"/>
  <c r="G154" i="16"/>
  <c r="G238" i="16" s="1"/>
  <c r="I157" i="16"/>
  <c r="I241" i="16" s="1"/>
  <c r="E8" i="13"/>
  <c r="J11" i="40" s="1"/>
  <c r="L11" i="40" s="1"/>
  <c r="G143" i="16"/>
  <c r="G227" i="16" s="1"/>
  <c r="I168" i="16"/>
  <c r="I252" i="16" s="1"/>
  <c r="G163" i="16"/>
  <c r="G247" i="16" s="1"/>
  <c r="I170" i="16"/>
  <c r="I254" i="16" s="1"/>
  <c r="J63" i="18"/>
  <c r="G148" i="18" s="1"/>
  <c r="I166" i="16"/>
  <c r="I250" i="16" s="1"/>
  <c r="F172" i="16"/>
  <c r="F256" i="16" s="1"/>
  <c r="H172" i="16"/>
  <c r="H256" i="16" s="1"/>
  <c r="H163" i="16"/>
  <c r="H247" i="16" s="1"/>
  <c r="H166" i="16"/>
  <c r="H250" i="16" s="1"/>
  <c r="F166" i="16"/>
  <c r="F250" i="16" s="1"/>
  <c r="J71" i="18"/>
  <c r="I156" i="18" s="1"/>
  <c r="G170" i="16"/>
  <c r="G254" i="16" s="1"/>
  <c r="H171" i="16"/>
  <c r="H255" i="16" s="1"/>
  <c r="F171" i="16"/>
  <c r="F255" i="16" s="1"/>
  <c r="F168" i="16"/>
  <c r="F252" i="16" s="1"/>
  <c r="G172" i="16"/>
  <c r="G256" i="16" s="1"/>
  <c r="J165" i="16"/>
  <c r="I165" i="16" s="1"/>
  <c r="I249" i="16" s="1"/>
  <c r="J67" i="18"/>
  <c r="G152" i="18" s="1"/>
  <c r="J68" i="18"/>
  <c r="I172" i="16"/>
  <c r="I256" i="16" s="1"/>
  <c r="G187" i="16"/>
  <c r="G271" i="16" s="1"/>
  <c r="G141" i="16"/>
  <c r="G225" i="16" s="1"/>
  <c r="G166" i="16"/>
  <c r="G250" i="16" s="1"/>
  <c r="F138" i="16"/>
  <c r="F222" i="16" s="1"/>
  <c r="F152" i="16"/>
  <c r="F236" i="16" s="1"/>
  <c r="I141" i="16"/>
  <c r="I225" i="16" s="1"/>
  <c r="I163" i="16"/>
  <c r="I247" i="16" s="1"/>
  <c r="J72" i="18"/>
  <c r="F157" i="18" s="1"/>
  <c r="F170" i="16"/>
  <c r="F254" i="16" s="1"/>
  <c r="G169" i="16"/>
  <c r="G253" i="16" s="1"/>
  <c r="G167" i="16"/>
  <c r="G251" i="16" s="1"/>
  <c r="I167" i="16"/>
  <c r="I251" i="16" s="1"/>
  <c r="H167" i="16"/>
  <c r="H251" i="16" s="1"/>
  <c r="F173" i="16"/>
  <c r="F257" i="16" s="1"/>
  <c r="H173" i="16"/>
  <c r="H257" i="16" s="1"/>
  <c r="H169" i="16"/>
  <c r="H253" i="16" s="1"/>
  <c r="J70" i="18"/>
  <c r="G155" i="18" s="1"/>
  <c r="H170" i="16"/>
  <c r="H254" i="16" s="1"/>
  <c r="I171" i="16"/>
  <c r="I255" i="16" s="1"/>
  <c r="G173" i="16"/>
  <c r="G257" i="16" s="1"/>
  <c r="F167" i="16"/>
  <c r="F251" i="16" s="1"/>
  <c r="G168" i="16"/>
  <c r="G252" i="16" s="1"/>
  <c r="H133" i="16"/>
  <c r="H217" i="16" s="1"/>
  <c r="I144" i="16"/>
  <c r="I228" i="16" s="1"/>
  <c r="H168" i="16"/>
  <c r="H252" i="16" s="1"/>
  <c r="I173" i="16"/>
  <c r="I257" i="16" s="1"/>
  <c r="J66" i="18"/>
  <c r="H122" i="16"/>
  <c r="H206" i="16" s="1"/>
  <c r="J65" i="18"/>
  <c r="F163" i="16"/>
  <c r="F247" i="16" s="1"/>
  <c r="J164" i="16"/>
  <c r="F164" i="16" s="1"/>
  <c r="F248" i="16" s="1"/>
  <c r="G171" i="16"/>
  <c r="G255" i="16" s="1"/>
  <c r="J69" i="18"/>
  <c r="F154" i="18" s="1"/>
  <c r="J64" i="18"/>
  <c r="H149" i="18" s="1"/>
  <c r="F169" i="16"/>
  <c r="F253" i="16" s="1"/>
  <c r="F141" i="16"/>
  <c r="F225" i="16" s="1"/>
  <c r="I156" i="16"/>
  <c r="I240" i="16" s="1"/>
  <c r="F132" i="16"/>
  <c r="F216" i="16" s="1"/>
  <c r="H141" i="16"/>
  <c r="H225" i="16" s="1"/>
  <c r="H154" i="16"/>
  <c r="H238" i="16" s="1"/>
  <c r="J150" i="16"/>
  <c r="F150" i="16" s="1"/>
  <c r="F234" i="16" s="1"/>
  <c r="G127" i="18"/>
  <c r="G137" i="18"/>
  <c r="G121" i="16"/>
  <c r="G205" i="16" s="1"/>
  <c r="E56" i="11"/>
  <c r="E58" i="11"/>
  <c r="E57" i="11"/>
  <c r="J94" i="18"/>
  <c r="H179" i="18" s="1"/>
  <c r="G134" i="16"/>
  <c r="G218" i="16" s="1"/>
  <c r="H134" i="16"/>
  <c r="H218" i="16" s="1"/>
  <c r="G133" i="16"/>
  <c r="G217" i="16" s="1"/>
  <c r="I133" i="16"/>
  <c r="I217" i="16" s="1"/>
  <c r="F122" i="16"/>
  <c r="F206" i="16" s="1"/>
  <c r="J131" i="16"/>
  <c r="G131" i="16" s="1"/>
  <c r="G215" i="16" s="1"/>
  <c r="G125" i="16"/>
  <c r="G209" i="16" s="1"/>
  <c r="J32" i="18"/>
  <c r="J20" i="18"/>
  <c r="F105" i="18" s="1"/>
  <c r="J31" i="18"/>
  <c r="H132" i="16"/>
  <c r="H216" i="16" s="1"/>
  <c r="J34" i="18"/>
  <c r="I119" i="18" s="1"/>
  <c r="H108" i="18"/>
  <c r="J33" i="18"/>
  <c r="I118" i="18" s="1"/>
  <c r="I106" i="18"/>
  <c r="J120" i="16"/>
  <c r="F120" i="16" s="1"/>
  <c r="F204" i="16" s="1"/>
  <c r="G132" i="16"/>
  <c r="G216" i="16" s="1"/>
  <c r="H136" i="16"/>
  <c r="H220" i="16" s="1"/>
  <c r="F136" i="16"/>
  <c r="F220" i="16" s="1"/>
  <c r="G136" i="16"/>
  <c r="G220" i="16" s="1"/>
  <c r="I136" i="16"/>
  <c r="I220" i="16" s="1"/>
  <c r="I135" i="16"/>
  <c r="I219" i="16" s="1"/>
  <c r="G135" i="16"/>
  <c r="G219" i="16" s="1"/>
  <c r="F135" i="16"/>
  <c r="F219" i="16" s="1"/>
  <c r="H135" i="16"/>
  <c r="H219" i="16" s="1"/>
  <c r="G107" i="18"/>
  <c r="I107" i="18"/>
  <c r="F107" i="18"/>
  <c r="H107" i="18"/>
  <c r="G122" i="16"/>
  <c r="G206" i="16" s="1"/>
  <c r="I134" i="16"/>
  <c r="I218" i="16" s="1"/>
  <c r="I132" i="16"/>
  <c r="I216" i="16" s="1"/>
  <c r="I122" i="16"/>
  <c r="I206" i="16" s="1"/>
  <c r="F133" i="16"/>
  <c r="F217" i="16" s="1"/>
  <c r="J35" i="18"/>
  <c r="F134" i="16"/>
  <c r="F218" i="16" s="1"/>
  <c r="H185" i="16"/>
  <c r="H269" i="16" s="1"/>
  <c r="F185" i="16"/>
  <c r="F269" i="16" s="1"/>
  <c r="J198" i="16"/>
  <c r="I198" i="16" s="1"/>
  <c r="I282" i="16" s="1"/>
  <c r="F196" i="16"/>
  <c r="F280" i="16" s="1"/>
  <c r="H196" i="16"/>
  <c r="H280" i="16" s="1"/>
  <c r="G196" i="16"/>
  <c r="G280" i="16" s="1"/>
  <c r="I175" i="16"/>
  <c r="I259" i="16" s="1"/>
  <c r="H175" i="16"/>
  <c r="H259" i="16" s="1"/>
  <c r="F175" i="16"/>
  <c r="F259" i="16" s="1"/>
  <c r="H182" i="16"/>
  <c r="H266" i="16" s="1"/>
  <c r="F182" i="16"/>
  <c r="F266" i="16" s="1"/>
  <c r="G177" i="16"/>
  <c r="G261" i="16" s="1"/>
  <c r="F177" i="16"/>
  <c r="F261" i="16" s="1"/>
  <c r="I177" i="16"/>
  <c r="I261" i="16" s="1"/>
  <c r="F179" i="16"/>
  <c r="F263" i="16" s="1"/>
  <c r="I179" i="16"/>
  <c r="I263" i="16" s="1"/>
  <c r="G179" i="16"/>
  <c r="G263" i="16" s="1"/>
  <c r="J84" i="18"/>
  <c r="H169" i="18" s="1"/>
  <c r="J183" i="16"/>
  <c r="I183" i="16" s="1"/>
  <c r="I267" i="16" s="1"/>
  <c r="J195" i="16"/>
  <c r="G195" i="16" s="1"/>
  <c r="G279" i="16" s="1"/>
  <c r="I182" i="16"/>
  <c r="I266" i="16" s="1"/>
  <c r="J192" i="16"/>
  <c r="G192" i="16" s="1"/>
  <c r="G276" i="16" s="1"/>
  <c r="J97" i="18"/>
  <c r="F182" i="18" s="1"/>
  <c r="J74" i="18"/>
  <c r="G159" i="18" s="1"/>
  <c r="J188" i="16"/>
  <c r="F188" i="16" s="1"/>
  <c r="F272" i="16" s="1"/>
  <c r="J190" i="16"/>
  <c r="H190" i="16" s="1"/>
  <c r="H274" i="16" s="1"/>
  <c r="J89" i="18"/>
  <c r="I174" i="18" s="1"/>
  <c r="H193" i="16"/>
  <c r="H277" i="16" s="1"/>
  <c r="F193" i="16"/>
  <c r="F277" i="16" s="1"/>
  <c r="I193" i="16"/>
  <c r="I277" i="16" s="1"/>
  <c r="I197" i="16"/>
  <c r="I281" i="16" s="1"/>
  <c r="F197" i="16"/>
  <c r="F281" i="16" s="1"/>
  <c r="H197" i="16"/>
  <c r="H281" i="16" s="1"/>
  <c r="G197" i="16"/>
  <c r="G281" i="16" s="1"/>
  <c r="G191" i="16"/>
  <c r="G275" i="16" s="1"/>
  <c r="H191" i="16"/>
  <c r="H275" i="16" s="1"/>
  <c r="I191" i="16"/>
  <c r="I275" i="16" s="1"/>
  <c r="F191" i="16"/>
  <c r="F275" i="16" s="1"/>
  <c r="H181" i="16"/>
  <c r="H265" i="16" s="1"/>
  <c r="F181" i="16"/>
  <c r="F265" i="16" s="1"/>
  <c r="I181" i="16"/>
  <c r="I265" i="16" s="1"/>
  <c r="F186" i="16"/>
  <c r="F270" i="16" s="1"/>
  <c r="H186" i="16"/>
  <c r="H270" i="16" s="1"/>
  <c r="G186" i="16"/>
  <c r="G270" i="16" s="1"/>
  <c r="I186" i="16"/>
  <c r="I270" i="16" s="1"/>
  <c r="J178" i="16"/>
  <c r="J189" i="16"/>
  <c r="G189" i="16" s="1"/>
  <c r="G273" i="16" s="1"/>
  <c r="J199" i="16"/>
  <c r="G199" i="16" s="1"/>
  <c r="G283" i="16" s="1"/>
  <c r="H187" i="16"/>
  <c r="H271" i="16" s="1"/>
  <c r="G193" i="16"/>
  <c r="G277" i="16" s="1"/>
  <c r="J95" i="18"/>
  <c r="J83" i="18"/>
  <c r="I168" i="18" s="1"/>
  <c r="J176" i="16"/>
  <c r="G176" i="16" s="1"/>
  <c r="G260" i="16" s="1"/>
  <c r="J184" i="16"/>
  <c r="H184" i="16" s="1"/>
  <c r="H268" i="16" s="1"/>
  <c r="J81" i="18"/>
  <c r="F166" i="18" s="1"/>
  <c r="J90" i="18"/>
  <c r="G185" i="16"/>
  <c r="G269" i="16" s="1"/>
  <c r="I187" i="16"/>
  <c r="I271" i="16" s="1"/>
  <c r="H177" i="16"/>
  <c r="H261" i="16" s="1"/>
  <c r="I196" i="16"/>
  <c r="I280" i="16" s="1"/>
  <c r="J77" i="18"/>
  <c r="F162" i="18" s="1"/>
  <c r="G175" i="16"/>
  <c r="G259" i="16" s="1"/>
  <c r="J194" i="16"/>
  <c r="G194" i="16" s="1"/>
  <c r="G278" i="16" s="1"/>
  <c r="J98" i="18"/>
  <c r="H183" i="18" s="1"/>
  <c r="J180" i="16"/>
  <c r="J96" i="18"/>
  <c r="J78" i="18"/>
  <c r="F163" i="18" s="1"/>
  <c r="J91" i="18"/>
  <c r="I185" i="16"/>
  <c r="I269" i="16" s="1"/>
  <c r="G181" i="16"/>
  <c r="G265" i="16" s="1"/>
  <c r="J82" i="18"/>
  <c r="I167" i="18" s="1"/>
  <c r="J93" i="18"/>
  <c r="H178" i="18" s="1"/>
  <c r="J85" i="18"/>
  <c r="J87" i="18"/>
  <c r="J80" i="18"/>
  <c r="J76" i="18"/>
  <c r="J92" i="18"/>
  <c r="H179" i="16"/>
  <c r="H263" i="16" s="1"/>
  <c r="J88" i="18"/>
  <c r="F173" i="18" s="1"/>
  <c r="J79" i="18"/>
  <c r="F187" i="16"/>
  <c r="F271" i="16" s="1"/>
  <c r="J75" i="18"/>
  <c r="H160" i="18" s="1"/>
  <c r="J174" i="16"/>
  <c r="G182" i="16"/>
  <c r="G266" i="16" s="1"/>
  <c r="H158" i="16"/>
  <c r="H242" i="16" s="1"/>
  <c r="I158" i="16"/>
  <c r="I242" i="16" s="1"/>
  <c r="F144" i="16"/>
  <c r="F228" i="16" s="1"/>
  <c r="J37" i="18"/>
  <c r="I122" i="18" s="1"/>
  <c r="G157" i="16"/>
  <c r="G241" i="16" s="1"/>
  <c r="G145" i="16"/>
  <c r="G229" i="16" s="1"/>
  <c r="G158" i="16"/>
  <c r="G242" i="16" s="1"/>
  <c r="J50" i="18"/>
  <c r="H135" i="18" s="1"/>
  <c r="I154" i="16"/>
  <c r="I238" i="16" s="1"/>
  <c r="F158" i="16"/>
  <c r="F242" i="16" s="1"/>
  <c r="I152" i="16"/>
  <c r="I236" i="16" s="1"/>
  <c r="H152" i="16"/>
  <c r="H236" i="16" s="1"/>
  <c r="I126" i="18"/>
  <c r="H126" i="18"/>
  <c r="G140" i="16"/>
  <c r="G224" i="16" s="1"/>
  <c r="H140" i="16"/>
  <c r="H224" i="16" s="1"/>
  <c r="F140" i="16"/>
  <c r="F224" i="16" s="1"/>
  <c r="I155" i="16"/>
  <c r="I239" i="16" s="1"/>
  <c r="H155" i="16"/>
  <c r="H239" i="16" s="1"/>
  <c r="F139" i="16"/>
  <c r="F223" i="16" s="1"/>
  <c r="G139" i="16"/>
  <c r="G223" i="16" s="1"/>
  <c r="H139" i="16"/>
  <c r="H223" i="16" s="1"/>
  <c r="G123" i="18"/>
  <c r="G152" i="16"/>
  <c r="G236" i="16" s="1"/>
  <c r="G155" i="16"/>
  <c r="G239" i="16" s="1"/>
  <c r="F143" i="16"/>
  <c r="F227" i="16" s="1"/>
  <c r="F156" i="16"/>
  <c r="F240" i="16" s="1"/>
  <c r="H143" i="16"/>
  <c r="H227" i="16" s="1"/>
  <c r="I136" i="18"/>
  <c r="I139" i="16"/>
  <c r="I223" i="16" s="1"/>
  <c r="H156" i="16"/>
  <c r="H240" i="16" s="1"/>
  <c r="G156" i="16"/>
  <c r="G240" i="16" s="1"/>
  <c r="J137" i="16"/>
  <c r="I137" i="16" s="1"/>
  <c r="I221" i="16" s="1"/>
  <c r="I138" i="18"/>
  <c r="I140" i="16"/>
  <c r="I224" i="16" s="1"/>
  <c r="F154" i="16"/>
  <c r="F238" i="16" s="1"/>
  <c r="F157" i="16"/>
  <c r="F241" i="16" s="1"/>
  <c r="H153" i="16"/>
  <c r="H237" i="16" s="1"/>
  <c r="G138" i="16"/>
  <c r="G222" i="16" s="1"/>
  <c r="I143" i="16"/>
  <c r="I227" i="16" s="1"/>
  <c r="F126" i="18"/>
  <c r="H138" i="16"/>
  <c r="H222" i="16" s="1"/>
  <c r="H157" i="16"/>
  <c r="H241" i="16" s="1"/>
  <c r="G126" i="18"/>
  <c r="F140" i="18"/>
  <c r="H139" i="18"/>
  <c r="I138" i="16"/>
  <c r="I222" i="16" s="1"/>
  <c r="G144" i="16"/>
  <c r="G228" i="16" s="1"/>
  <c r="H144" i="16"/>
  <c r="H228" i="16" s="1"/>
  <c r="F155" i="16"/>
  <c r="F239" i="16" s="1"/>
  <c r="L42" i="40"/>
  <c r="L45" i="40" s="1"/>
  <c r="J45" i="40"/>
  <c r="K42" i="40"/>
  <c r="K45" i="40" s="1"/>
  <c r="E20" i="4"/>
  <c r="E54" i="11"/>
  <c r="K29" i="40"/>
  <c r="L29" i="40"/>
  <c r="C49" i="43"/>
  <c r="F93" i="5" s="1"/>
  <c r="H23" i="14" s="1"/>
  <c r="H22" i="14" s="1"/>
  <c r="H13" i="14"/>
  <c r="J36" i="40" s="1"/>
  <c r="K36" i="40" s="1"/>
  <c r="H16" i="14"/>
  <c r="J39" i="40" s="1"/>
  <c r="H15" i="14"/>
  <c r="J38" i="40" s="1"/>
  <c r="L38" i="40" s="1"/>
  <c r="K23" i="40"/>
  <c r="K22" i="40"/>
  <c r="L22" i="40"/>
  <c r="L20" i="40"/>
  <c r="K20" i="40"/>
  <c r="C73" i="10"/>
  <c r="E5" i="13" s="1"/>
  <c r="J8" i="40" s="1"/>
  <c r="J10" i="40"/>
  <c r="D57" i="12"/>
  <c r="H20" i="14"/>
  <c r="J16" i="40" s="1"/>
  <c r="J17" i="40" s="1"/>
  <c r="L15" i="40"/>
  <c r="K15" i="40"/>
  <c r="E6" i="4"/>
  <c r="E8" i="4" s="1"/>
  <c r="E29" i="4" s="1"/>
  <c r="E4" i="13"/>
  <c r="F10" i="41"/>
  <c r="C12" i="39" s="1"/>
  <c r="E12" i="39" s="1"/>
  <c r="F12" i="39" s="1"/>
  <c r="H10" i="41"/>
  <c r="E25" i="4"/>
  <c r="L37" i="40" l="1"/>
  <c r="D20" i="30"/>
  <c r="H12" i="14" s="1"/>
  <c r="J35" i="40" s="1"/>
  <c r="J40" i="40" s="1"/>
  <c r="F9" i="41"/>
  <c r="C11" i="39" s="1"/>
  <c r="E11" i="39" s="1"/>
  <c r="F11" i="39" s="1"/>
  <c r="L28" i="40"/>
  <c r="K11" i="40"/>
  <c r="G123" i="16"/>
  <c r="G207" i="16" s="1"/>
  <c r="F123" i="16"/>
  <c r="F152" i="18"/>
  <c r="I152" i="18"/>
  <c r="I148" i="18"/>
  <c r="H148" i="18"/>
  <c r="F148" i="18"/>
  <c r="H156" i="18"/>
  <c r="F165" i="16"/>
  <c r="F249" i="16" s="1"/>
  <c r="G165" i="16"/>
  <c r="G249" i="16" s="1"/>
  <c r="G156" i="18"/>
  <c r="H165" i="16"/>
  <c r="H249" i="16" s="1"/>
  <c r="F156" i="18"/>
  <c r="I157" i="18"/>
  <c r="G157" i="18"/>
  <c r="H125" i="16"/>
  <c r="H209" i="16" s="1"/>
  <c r="H152" i="18"/>
  <c r="I153" i="18"/>
  <c r="H153" i="18"/>
  <c r="I155" i="18"/>
  <c r="G153" i="18"/>
  <c r="F153" i="18"/>
  <c r="H164" i="16"/>
  <c r="H248" i="16" s="1"/>
  <c r="H157" i="18"/>
  <c r="G150" i="18"/>
  <c r="H150" i="18"/>
  <c r="I150" i="18"/>
  <c r="F150" i="18"/>
  <c r="F179" i="18"/>
  <c r="F151" i="18"/>
  <c r="H151" i="18"/>
  <c r="I151" i="18"/>
  <c r="G151" i="18"/>
  <c r="G154" i="18"/>
  <c r="G164" i="16"/>
  <c r="G248" i="16" s="1"/>
  <c r="G149" i="18"/>
  <c r="F149" i="18"/>
  <c r="I149" i="18"/>
  <c r="F155" i="18"/>
  <c r="H155" i="18"/>
  <c r="H154" i="18"/>
  <c r="I154" i="18"/>
  <c r="I164" i="16"/>
  <c r="I248" i="16" s="1"/>
  <c r="H127" i="18"/>
  <c r="G122" i="18"/>
  <c r="F135" i="18"/>
  <c r="I127" i="18"/>
  <c r="F127" i="18"/>
  <c r="H150" i="16"/>
  <c r="H234" i="16" s="1"/>
  <c r="F122" i="18"/>
  <c r="H122" i="18"/>
  <c r="H123" i="16"/>
  <c r="H207" i="16" s="1"/>
  <c r="I125" i="16"/>
  <c r="I209" i="16" s="1"/>
  <c r="I121" i="16"/>
  <c r="I205" i="16" s="1"/>
  <c r="F121" i="16"/>
  <c r="F205" i="16" s="1"/>
  <c r="H121" i="16"/>
  <c r="H205" i="16" s="1"/>
  <c r="F131" i="16"/>
  <c r="F215" i="16" s="1"/>
  <c r="H131" i="16"/>
  <c r="H215" i="16" s="1"/>
  <c r="F118" i="18"/>
  <c r="H118" i="18"/>
  <c r="I137" i="18"/>
  <c r="F137" i="18"/>
  <c r="H137" i="18"/>
  <c r="I150" i="16"/>
  <c r="I234" i="16" s="1"/>
  <c r="G150" i="16"/>
  <c r="G234" i="16" s="1"/>
  <c r="I131" i="16"/>
  <c r="I215" i="16" s="1"/>
  <c r="E6" i="13"/>
  <c r="J9" i="40" s="1"/>
  <c r="K9" i="40" s="1"/>
  <c r="I179" i="18"/>
  <c r="G179" i="18"/>
  <c r="I189" i="16"/>
  <c r="I273" i="16" s="1"/>
  <c r="H174" i="18"/>
  <c r="H105" i="18"/>
  <c r="F125" i="16"/>
  <c r="F209" i="16" s="1"/>
  <c r="F207" i="16"/>
  <c r="I123" i="16"/>
  <c r="I207" i="16" s="1"/>
  <c r="G120" i="16"/>
  <c r="G204" i="16" s="1"/>
  <c r="H120" i="16"/>
  <c r="H204" i="16" s="1"/>
  <c r="I120" i="16"/>
  <c r="I204" i="16" s="1"/>
  <c r="H119" i="18"/>
  <c r="F119" i="18"/>
  <c r="G106" i="18"/>
  <c r="H116" i="18"/>
  <c r="I116" i="18"/>
  <c r="G116" i="18"/>
  <c r="F116" i="18"/>
  <c r="G118" i="18"/>
  <c r="G105" i="18"/>
  <c r="I105" i="18"/>
  <c r="G119" i="18"/>
  <c r="H106" i="18"/>
  <c r="I117" i="18"/>
  <c r="F117" i="18"/>
  <c r="H117" i="18"/>
  <c r="G117" i="18"/>
  <c r="F108" i="18"/>
  <c r="G108" i="18"/>
  <c r="F106" i="18"/>
  <c r="I108" i="18"/>
  <c r="G120" i="18"/>
  <c r="F120" i="18"/>
  <c r="I120" i="18"/>
  <c r="H120" i="18"/>
  <c r="G124" i="16"/>
  <c r="G208" i="16" s="1"/>
  <c r="H124" i="16"/>
  <c r="H208" i="16" s="1"/>
  <c r="I124" i="16"/>
  <c r="I208" i="16" s="1"/>
  <c r="F124" i="16"/>
  <c r="F208" i="16" s="1"/>
  <c r="F198" i="16"/>
  <c r="F282" i="16" s="1"/>
  <c r="G163" i="18"/>
  <c r="H195" i="16"/>
  <c r="H279" i="16" s="1"/>
  <c r="G198" i="16"/>
  <c r="G282" i="16" s="1"/>
  <c r="I188" i="16"/>
  <c r="I272" i="16" s="1"/>
  <c r="F192" i="16"/>
  <c r="F276" i="16" s="1"/>
  <c r="H198" i="16"/>
  <c r="H282" i="16" s="1"/>
  <c r="G169" i="18"/>
  <c r="I159" i="18"/>
  <c r="F189" i="16"/>
  <c r="F273" i="16" s="1"/>
  <c r="I169" i="18"/>
  <c r="I192" i="16"/>
  <c r="I276" i="16" s="1"/>
  <c r="H192" i="16"/>
  <c r="H276" i="16" s="1"/>
  <c r="G182" i="18"/>
  <c r="F169" i="18"/>
  <c r="H182" i="18"/>
  <c r="I195" i="16"/>
  <c r="I279" i="16" s="1"/>
  <c r="F195" i="16"/>
  <c r="F279" i="16" s="1"/>
  <c r="I182" i="18"/>
  <c r="G174" i="18"/>
  <c r="F174" i="18"/>
  <c r="F159" i="18"/>
  <c r="H159" i="18"/>
  <c r="I194" i="16"/>
  <c r="I278" i="16" s="1"/>
  <c r="G166" i="18"/>
  <c r="F190" i="16"/>
  <c r="F274" i="16" s="1"/>
  <c r="G190" i="16"/>
  <c r="G274" i="16" s="1"/>
  <c r="I190" i="16"/>
  <c r="I274" i="16" s="1"/>
  <c r="G183" i="16"/>
  <c r="G267" i="16" s="1"/>
  <c r="H183" i="16"/>
  <c r="H267" i="16" s="1"/>
  <c r="F183" i="16"/>
  <c r="F267" i="16" s="1"/>
  <c r="H188" i="16"/>
  <c r="H272" i="16" s="1"/>
  <c r="G188" i="16"/>
  <c r="G272" i="16" s="1"/>
  <c r="H165" i="18"/>
  <c r="F165" i="18"/>
  <c r="G165" i="18"/>
  <c r="I165" i="18"/>
  <c r="I181" i="18"/>
  <c r="F181" i="18"/>
  <c r="G181" i="18"/>
  <c r="F164" i="18"/>
  <c r="G164" i="18"/>
  <c r="I164" i="18"/>
  <c r="H164" i="18"/>
  <c r="I172" i="18"/>
  <c r="G172" i="18"/>
  <c r="H172" i="18"/>
  <c r="F172" i="18"/>
  <c r="F178" i="18"/>
  <c r="I178" i="18"/>
  <c r="G178" i="18"/>
  <c r="H180" i="16"/>
  <c r="H264" i="16" s="1"/>
  <c r="I180" i="16"/>
  <c r="I264" i="16" s="1"/>
  <c r="G180" i="16"/>
  <c r="G264" i="16" s="1"/>
  <c r="I175" i="18"/>
  <c r="F175" i="18"/>
  <c r="G175" i="18"/>
  <c r="I166" i="18"/>
  <c r="H166" i="18"/>
  <c r="H175" i="18"/>
  <c r="F194" i="16"/>
  <c r="F278" i="16" s="1"/>
  <c r="H199" i="16"/>
  <c r="H283" i="16" s="1"/>
  <c r="F199" i="16"/>
  <c r="F283" i="16" s="1"/>
  <c r="I199" i="16"/>
  <c r="I283" i="16" s="1"/>
  <c r="H167" i="18"/>
  <c r="F167" i="18"/>
  <c r="G167" i="18"/>
  <c r="H170" i="18"/>
  <c r="G170" i="18"/>
  <c r="F170" i="18"/>
  <c r="I170" i="18"/>
  <c r="I162" i="18"/>
  <c r="G162" i="18"/>
  <c r="H162" i="18"/>
  <c r="H161" i="18"/>
  <c r="F161" i="18"/>
  <c r="G161" i="18"/>
  <c r="I161" i="18"/>
  <c r="I183" i="18"/>
  <c r="F183" i="18"/>
  <c r="G183" i="18"/>
  <c r="F184" i="16"/>
  <c r="F268" i="16" s="1"/>
  <c r="I184" i="16"/>
  <c r="I268" i="16" s="1"/>
  <c r="G184" i="16"/>
  <c r="G268" i="16" s="1"/>
  <c r="H178" i="16"/>
  <c r="H262" i="16" s="1"/>
  <c r="G178" i="16"/>
  <c r="G262" i="16" s="1"/>
  <c r="I178" i="16"/>
  <c r="I262" i="16" s="1"/>
  <c r="F178" i="16"/>
  <c r="F262" i="16" s="1"/>
  <c r="I174" i="16"/>
  <c r="I258" i="16" s="1"/>
  <c r="G174" i="16"/>
  <c r="G258" i="16" s="1"/>
  <c r="F174" i="16"/>
  <c r="F258" i="16" s="1"/>
  <c r="H174" i="16"/>
  <c r="H258" i="16" s="1"/>
  <c r="H176" i="16"/>
  <c r="H260" i="16" s="1"/>
  <c r="I176" i="16"/>
  <c r="I260" i="16" s="1"/>
  <c r="F176" i="16"/>
  <c r="F260" i="16" s="1"/>
  <c r="F168" i="18"/>
  <c r="G168" i="18"/>
  <c r="H168" i="18"/>
  <c r="G173" i="18"/>
  <c r="I173" i="18"/>
  <c r="H173" i="18"/>
  <c r="H181" i="18"/>
  <c r="G176" i="18"/>
  <c r="I176" i="18"/>
  <c r="F176" i="18"/>
  <c r="H176" i="18"/>
  <c r="F160" i="18"/>
  <c r="G160" i="18"/>
  <c r="I160" i="18"/>
  <c r="H194" i="16"/>
  <c r="H278" i="16" s="1"/>
  <c r="G177" i="18"/>
  <c r="F177" i="18"/>
  <c r="H177" i="18"/>
  <c r="I177" i="18"/>
  <c r="H189" i="16"/>
  <c r="H273" i="16" s="1"/>
  <c r="H163" i="18"/>
  <c r="I163" i="18"/>
  <c r="F180" i="16"/>
  <c r="F264" i="16" s="1"/>
  <c r="G180" i="18"/>
  <c r="H180" i="18"/>
  <c r="F180" i="18"/>
  <c r="I180" i="18"/>
  <c r="F137" i="16"/>
  <c r="F221" i="16" s="1"/>
  <c r="H137" i="16"/>
  <c r="H221" i="16" s="1"/>
  <c r="I135" i="18"/>
  <c r="G135" i="18"/>
  <c r="G137" i="16"/>
  <c r="G221" i="16" s="1"/>
  <c r="I145" i="16"/>
  <c r="I229" i="16" s="1"/>
  <c r="F145" i="16"/>
  <c r="F229" i="16" s="1"/>
  <c r="H145" i="16"/>
  <c r="H229" i="16" s="1"/>
  <c r="I141" i="18"/>
  <c r="H141" i="18"/>
  <c r="G141" i="18"/>
  <c r="F141" i="18"/>
  <c r="I151" i="16"/>
  <c r="I235" i="16" s="1"/>
  <c r="H151" i="16"/>
  <c r="H235" i="16" s="1"/>
  <c r="I140" i="18"/>
  <c r="F153" i="16"/>
  <c r="F237" i="16" s="1"/>
  <c r="G153" i="16"/>
  <c r="G237" i="16" s="1"/>
  <c r="G136" i="18"/>
  <c r="H136" i="18"/>
  <c r="F136" i="18"/>
  <c r="H125" i="18"/>
  <c r="I125" i="18"/>
  <c r="F125" i="18"/>
  <c r="G125" i="18"/>
  <c r="F151" i="16"/>
  <c r="F235" i="16" s="1"/>
  <c r="G139" i="18"/>
  <c r="I139" i="18"/>
  <c r="F139" i="18"/>
  <c r="G128" i="18"/>
  <c r="H128" i="18"/>
  <c r="I128" i="18"/>
  <c r="F128" i="18"/>
  <c r="G138" i="18"/>
  <c r="H138" i="18"/>
  <c r="F138" i="18"/>
  <c r="H142" i="16"/>
  <c r="H226" i="16" s="1"/>
  <c r="I142" i="16"/>
  <c r="I226" i="16" s="1"/>
  <c r="F142" i="16"/>
  <c r="F226" i="16" s="1"/>
  <c r="G142" i="16"/>
  <c r="G226" i="16" s="1"/>
  <c r="I124" i="18"/>
  <c r="G124" i="18"/>
  <c r="F124" i="18"/>
  <c r="H124" i="18"/>
  <c r="I153" i="16"/>
  <c r="I237" i="16" s="1"/>
  <c r="G151" i="16"/>
  <c r="G235" i="16" s="1"/>
  <c r="I123" i="18"/>
  <c r="F123" i="18"/>
  <c r="H123" i="18"/>
  <c r="H140" i="18"/>
  <c r="G140" i="18"/>
  <c r="K37" i="40"/>
  <c r="L36" i="40"/>
  <c r="K38" i="40"/>
  <c r="J19" i="40"/>
  <c r="J24" i="40" s="1"/>
  <c r="K27" i="40"/>
  <c r="K39" i="40"/>
  <c r="L39" i="40"/>
  <c r="K16" i="40"/>
  <c r="K17" i="40" s="1"/>
  <c r="L16" i="40"/>
  <c r="L17" i="40" s="1"/>
  <c r="H18" i="14"/>
  <c r="E3" i="13"/>
  <c r="J6" i="40" s="1"/>
  <c r="K6" i="40" s="1"/>
  <c r="L8" i="40"/>
  <c r="K8" i="40"/>
  <c r="K10" i="40"/>
  <c r="L10" i="40"/>
  <c r="H5" i="44"/>
  <c r="E12" i="4"/>
  <c r="J7" i="40"/>
  <c r="L35" i="40" l="1"/>
  <c r="K35" i="40"/>
  <c r="G287" i="16"/>
  <c r="H4" i="14" s="1"/>
  <c r="J26" i="40" s="1"/>
  <c r="J32" i="40" s="1"/>
  <c r="F188" i="18"/>
  <c r="L9" i="40"/>
  <c r="H231" i="18"/>
  <c r="I231" i="18"/>
  <c r="F231" i="18"/>
  <c r="G231" i="18"/>
  <c r="F205" i="18"/>
  <c r="H205" i="18"/>
  <c r="G205" i="18"/>
  <c r="I188" i="18"/>
  <c r="H199" i="18"/>
  <c r="I199" i="18"/>
  <c r="F199" i="18"/>
  <c r="G199" i="18"/>
  <c r="H188" i="18"/>
  <c r="G188" i="18"/>
  <c r="I255" i="18"/>
  <c r="H242" i="18"/>
  <c r="I242" i="18"/>
  <c r="G242" i="18"/>
  <c r="F255" i="18"/>
  <c r="H255" i="18"/>
  <c r="F242" i="18"/>
  <c r="G255" i="18"/>
  <c r="I218" i="18"/>
  <c r="I205" i="18"/>
  <c r="H218" i="18"/>
  <c r="G218" i="18"/>
  <c r="F218" i="18"/>
  <c r="K19" i="40"/>
  <c r="K24" i="40" s="1"/>
  <c r="L19" i="40"/>
  <c r="L24" i="40" s="1"/>
  <c r="E1" i="13"/>
  <c r="H3" i="21" s="1"/>
  <c r="L6" i="40"/>
  <c r="J12" i="40"/>
  <c r="K7" i="40"/>
  <c r="K12" i="40" s="1"/>
  <c r="L7" i="40"/>
  <c r="M7" i="40" l="1"/>
  <c r="G270" i="18"/>
  <c r="H11" i="14" s="1"/>
  <c r="J34" i="40" s="1"/>
  <c r="L26" i="40"/>
  <c r="L32" i="40" s="1"/>
  <c r="K26" i="40"/>
  <c r="K32" i="40" s="1"/>
  <c r="H3" i="14"/>
  <c r="L12" i="40"/>
  <c r="H3" i="20"/>
  <c r="M11" i="40"/>
  <c r="M10" i="40"/>
  <c r="M8" i="40"/>
  <c r="M6" i="40"/>
  <c r="M9" i="40"/>
  <c r="H10" i="14" l="1"/>
  <c r="H1" i="14" s="1"/>
  <c r="H5" i="20" s="1"/>
  <c r="H1" i="20" s="1"/>
  <c r="H7" i="21" s="1"/>
  <c r="J50" i="40" s="1"/>
  <c r="L34" i="40"/>
  <c r="L40" i="40" s="1"/>
  <c r="L46" i="40" s="1"/>
  <c r="L48" i="40" s="1"/>
  <c r="K34" i="40"/>
  <c r="K40" i="40" s="1"/>
  <c r="K46" i="40" s="1"/>
  <c r="K48" i="40" s="1"/>
  <c r="J46" i="40"/>
  <c r="M12" i="40"/>
  <c r="M34" i="40" l="1"/>
  <c r="J63" i="40"/>
  <c r="H5" i="21"/>
  <c r="H1" i="21" s="1"/>
  <c r="D12" i="41" s="1"/>
  <c r="H12" i="41" s="1"/>
  <c r="M19" i="40"/>
  <c r="M30" i="40"/>
  <c r="M42" i="40"/>
  <c r="M29" i="40"/>
  <c r="M44" i="40"/>
  <c r="M43" i="40"/>
  <c r="M22" i="40"/>
  <c r="M26" i="40"/>
  <c r="M16" i="40"/>
  <c r="M15" i="40"/>
  <c r="M39" i="40"/>
  <c r="M38" i="40"/>
  <c r="M35" i="40"/>
  <c r="M23" i="40"/>
  <c r="M20" i="40"/>
  <c r="M37" i="40"/>
  <c r="M28" i="40"/>
  <c r="J48" i="40"/>
  <c r="J61" i="40" s="1"/>
  <c r="M36" i="40"/>
  <c r="M27" i="40"/>
  <c r="M21" i="40"/>
  <c r="L50" i="40"/>
  <c r="L61" i="40" s="1"/>
  <c r="L63" i="40" s="1"/>
  <c r="K50" i="40"/>
  <c r="K61" i="40" s="1"/>
  <c r="K63" i="40" s="1"/>
  <c r="N53" i="40" l="1"/>
  <c r="N48" i="40"/>
  <c r="N56" i="40"/>
  <c r="N50" i="40"/>
  <c r="N10" i="40"/>
  <c r="M17" i="40"/>
  <c r="M32" i="40"/>
  <c r="N27" i="40"/>
  <c r="N6" i="40"/>
  <c r="N32" i="40"/>
  <c r="N40" i="40"/>
  <c r="N20" i="40"/>
  <c r="N61" i="40"/>
  <c r="N39" i="40"/>
  <c r="N54" i="40"/>
  <c r="N28" i="40"/>
  <c r="N59" i="40"/>
  <c r="N57" i="40"/>
  <c r="N21" i="40"/>
  <c r="N44" i="40"/>
  <c r="N24" i="40"/>
  <c r="N45" i="40"/>
  <c r="N12" i="40"/>
  <c r="N34" i="40"/>
  <c r="N22" i="40"/>
  <c r="N8" i="40"/>
  <c r="N23" i="40"/>
  <c r="H3" i="44"/>
  <c r="H1" i="44" s="1"/>
  <c r="M45" i="40"/>
  <c r="F12" i="41"/>
  <c r="C14" i="39" s="1"/>
  <c r="E14" i="39" s="1"/>
  <c r="F14" i="39" s="1"/>
  <c r="H3" i="25"/>
  <c r="H1" i="25" s="1"/>
  <c r="M40" i="40"/>
  <c r="M24" i="40"/>
  <c r="N15" i="40"/>
  <c r="N42" i="40"/>
  <c r="N29" i="40"/>
  <c r="N55" i="40"/>
  <c r="N19" i="40"/>
  <c r="N16" i="40"/>
  <c r="N37" i="40"/>
  <c r="N58" i="40"/>
  <c r="N9" i="40"/>
  <c r="N17" i="40"/>
  <c r="N43" i="40"/>
  <c r="N26" i="40"/>
  <c r="N35" i="40"/>
  <c r="N11" i="40"/>
  <c r="N30" i="40"/>
  <c r="N36" i="40"/>
  <c r="N7" i="40"/>
  <c r="N46" i="40"/>
  <c r="N38" i="40"/>
  <c r="D3" i="41" l="1"/>
  <c r="F3" i="41" s="1"/>
  <c r="C5" i="39" s="1"/>
  <c r="E5" i="39" s="1"/>
  <c r="F5" i="39" s="1"/>
  <c r="M46" i="40"/>
  <c r="D17" i="41"/>
  <c r="H17" i="41" s="1"/>
  <c r="D7" i="41"/>
  <c r="H7" i="41" s="1"/>
  <c r="D6" i="41"/>
  <c r="F6" i="41" s="1"/>
  <c r="C8" i="39" s="1"/>
  <c r="E8" i="39" s="1"/>
  <c r="F8" i="39" s="1"/>
  <c r="D4" i="41"/>
  <c r="H4" i="41" s="1"/>
  <c r="D15" i="41"/>
  <c r="F15" i="41" s="1"/>
  <c r="C17" i="39" s="1"/>
  <c r="E17" i="39" s="1"/>
  <c r="F17" i="39" s="1"/>
  <c r="D5" i="41"/>
  <c r="H5" i="41" s="1"/>
  <c r="D19" i="41"/>
  <c r="F19" i="41" s="1"/>
  <c r="C21" i="39" s="1"/>
  <c r="E21" i="39" s="1"/>
  <c r="F21" i="39" s="1"/>
  <c r="D16" i="41"/>
  <c r="H16" i="41" s="1"/>
  <c r="H6" i="41" l="1"/>
  <c r="F17" i="41"/>
  <c r="C19" i="39" s="1"/>
  <c r="E19" i="39" s="1"/>
  <c r="F19" i="39" s="1"/>
  <c r="H3" i="41"/>
  <c r="F5" i="41"/>
  <c r="C7" i="39" s="1"/>
  <c r="E7" i="39" s="1"/>
  <c r="F7" i="39" s="1"/>
  <c r="F7" i="41"/>
  <c r="C9" i="39" s="1"/>
  <c r="E9" i="39" s="1"/>
  <c r="F9" i="39" s="1"/>
  <c r="H15" i="41"/>
  <c r="F16" i="41"/>
  <c r="C18" i="39" s="1"/>
  <c r="E18" i="39" s="1"/>
  <c r="F18" i="39" s="1"/>
  <c r="F4" i="41"/>
  <c r="C6" i="39" s="1"/>
  <c r="E6" i="39" s="1"/>
  <c r="F6" i="39" s="1"/>
  <c r="H19" i="41"/>
  <c r="I27" i="39" l="1"/>
  <c r="L27" i="39" s="1"/>
  <c r="I26" i="39"/>
  <c r="L26" i="39" s="1"/>
  <c r="I25" i="39"/>
  <c r="L25" i="39" s="1"/>
  <c r="L30" i="39" s="1"/>
  <c r="C27" i="39" s="1"/>
  <c r="E47" i="43"/>
  <c r="D47" i="4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<sst xmlns="http://schemas.openxmlformats.org/spreadsheetml/2006/main" count="1858" uniqueCount="960">
  <si>
    <t>Mês [m]i</t>
  </si>
  <si>
    <t>Linha (nº)</t>
  </si>
  <si>
    <t>ID</t>
  </si>
  <si>
    <t>Dias úteis</t>
  </si>
  <si>
    <t>Sábados</t>
  </si>
  <si>
    <t>km mensal improdutiva (IK)</t>
  </si>
  <si>
    <t>Sem ar condicionado</t>
  </si>
  <si>
    <t>Com ar condicionado</t>
  </si>
  <si>
    <t>Classe do veículo</t>
  </si>
  <si>
    <t>Sem transmissão automática</t>
  </si>
  <si>
    <t>Com transmissão automática</t>
  </si>
  <si>
    <t>Microônibus</t>
  </si>
  <si>
    <t>Miniônibus</t>
  </si>
  <si>
    <t>Midiônibus</t>
  </si>
  <si>
    <t>Ônibus básico</t>
  </si>
  <si>
    <t>Ônibus padron</t>
  </si>
  <si>
    <t>Ônibus articulado</t>
  </si>
  <si>
    <t>Ônibus biarticulado</t>
  </si>
  <si>
    <t>Receita média mensal total do sistema (RT)</t>
  </si>
  <si>
    <t>Média mensal de passageiros pagantes equivalentes (PE)</t>
  </si>
  <si>
    <t>R$</t>
  </si>
  <si>
    <t>3.1.</t>
  </si>
  <si>
    <t>Média mensal da quilometragem programada (KP)</t>
  </si>
  <si>
    <t>3.2.</t>
  </si>
  <si>
    <t>km</t>
  </si>
  <si>
    <t>Quilometragem programada mensal</t>
  </si>
  <si>
    <t>Periodo de análise M (em meses):</t>
  </si>
  <si>
    <t>Domingos / Feriados</t>
  </si>
  <si>
    <t>Índice de passageiro equivalentes por quilômetro (IPKe)</t>
  </si>
  <si>
    <t>3.3.</t>
  </si>
  <si>
    <t>3.4.</t>
  </si>
  <si>
    <r>
      <t>TP</t>
    </r>
    <r>
      <rPr>
        <b/>
        <vertAlign val="subscript"/>
        <sz val="11"/>
        <color indexed="8"/>
        <rFont val="Calibri"/>
        <family val="2"/>
      </rPr>
      <t>1</t>
    </r>
  </si>
  <si>
    <r>
      <t>TP</t>
    </r>
    <r>
      <rPr>
        <b/>
        <vertAlign val="subscript"/>
        <sz val="11"/>
        <color indexed="8"/>
        <rFont val="Calibri"/>
        <family val="2"/>
      </rPr>
      <t>2</t>
    </r>
  </si>
  <si>
    <r>
      <t>TP</t>
    </r>
    <r>
      <rPr>
        <b/>
        <vertAlign val="subscript"/>
        <sz val="11"/>
        <color indexed="8"/>
        <rFont val="Calibri"/>
        <family val="2"/>
      </rPr>
      <t>3</t>
    </r>
  </si>
  <si>
    <r>
      <t>TP</t>
    </r>
    <r>
      <rPr>
        <b/>
        <vertAlign val="subscript"/>
        <sz val="11"/>
        <color indexed="8"/>
        <rFont val="Calibri"/>
        <family val="2"/>
      </rPr>
      <t>4</t>
    </r>
  </si>
  <si>
    <r>
      <t>TP</t>
    </r>
    <r>
      <rPr>
        <b/>
        <vertAlign val="subscript"/>
        <sz val="11"/>
        <color indexed="8"/>
        <rFont val="Calibri"/>
        <family val="2"/>
      </rPr>
      <t>5</t>
    </r>
  </si>
  <si>
    <r>
      <t>TP</t>
    </r>
    <r>
      <rPr>
        <b/>
        <vertAlign val="subscript"/>
        <sz val="11"/>
        <color indexed="8"/>
        <rFont val="Calibri"/>
        <family val="2"/>
      </rPr>
      <t>6</t>
    </r>
  </si>
  <si>
    <r>
      <t>TP</t>
    </r>
    <r>
      <rPr>
        <b/>
        <vertAlign val="subscript"/>
        <sz val="11"/>
        <color indexed="8"/>
        <rFont val="Calibri"/>
        <family val="2"/>
      </rPr>
      <t>7</t>
    </r>
  </si>
  <si>
    <r>
      <t>TP</t>
    </r>
    <r>
      <rPr>
        <b/>
        <vertAlign val="subscript"/>
        <sz val="11"/>
        <color indexed="8"/>
        <rFont val="Calibri"/>
        <family val="2"/>
      </rPr>
      <t>8</t>
    </r>
    <r>
      <rPr>
        <sz val="10"/>
        <rFont val="Arial"/>
        <family val="2"/>
      </rPr>
      <t/>
    </r>
  </si>
  <si>
    <r>
      <t>TP</t>
    </r>
    <r>
      <rPr>
        <b/>
        <vertAlign val="subscript"/>
        <sz val="11"/>
        <color indexed="8"/>
        <rFont val="Calibri"/>
        <family val="2"/>
      </rPr>
      <t>9</t>
    </r>
    <r>
      <rPr>
        <sz val="10"/>
        <rFont val="Arial"/>
        <family val="2"/>
      </rPr>
      <t/>
    </r>
  </si>
  <si>
    <r>
      <t>TP</t>
    </r>
    <r>
      <rPr>
        <b/>
        <vertAlign val="subscript"/>
        <sz val="11"/>
        <color indexed="8"/>
        <rFont val="Calibri"/>
        <family val="2"/>
      </rPr>
      <t>10</t>
    </r>
    <r>
      <rPr>
        <sz val="10"/>
        <rFont val="Arial"/>
        <family val="2"/>
      </rPr>
      <t/>
    </r>
  </si>
  <si>
    <t>pass./km</t>
  </si>
  <si>
    <t>ônibus</t>
  </si>
  <si>
    <t>x FT</t>
  </si>
  <si>
    <t>Óleo diesel (OLD)</t>
  </si>
  <si>
    <t>ARLA 32 (ARL)</t>
  </si>
  <si>
    <t>Rodagem (ROD)</t>
  </si>
  <si>
    <t>Veículo (VEC)</t>
  </si>
  <si>
    <t>Salários e benefícios (SAB)</t>
  </si>
  <si>
    <t>R$/litro</t>
  </si>
  <si>
    <t>litros</t>
  </si>
  <si>
    <t>Lubrificantes (CLB)</t>
  </si>
  <si>
    <t>adimensional</t>
  </si>
  <si>
    <t>Preço do pneu novo</t>
  </si>
  <si>
    <t>Preço da recapagem</t>
  </si>
  <si>
    <t>R$/unidade</t>
  </si>
  <si>
    <t>Valores de Referência de número de recapagens</t>
  </si>
  <si>
    <r>
      <t>β</t>
    </r>
    <r>
      <rPr>
        <i/>
        <sz val="8"/>
        <color indexed="8"/>
        <rFont val="Calibri"/>
        <family val="2"/>
      </rPr>
      <t>Máximo</t>
    </r>
  </si>
  <si>
    <r>
      <t>β</t>
    </r>
    <r>
      <rPr>
        <i/>
        <sz val="8"/>
        <color indexed="8"/>
        <rFont val="Calibri"/>
        <family val="2"/>
      </rPr>
      <t>Minimo</t>
    </r>
  </si>
  <si>
    <t>Valores de Referência para vida útil dos pneus</t>
  </si>
  <si>
    <t>Dimensões</t>
  </si>
  <si>
    <t>215/75 R17,5</t>
  </si>
  <si>
    <t>Tipo</t>
  </si>
  <si>
    <t>275/80 R22,5</t>
  </si>
  <si>
    <t>295/80 R22,5</t>
  </si>
  <si>
    <t xml:space="preserve">Radiais sem câmara </t>
  </si>
  <si>
    <t>Número de Pneus (NP)</t>
  </si>
  <si>
    <t>Especificações de pneus por classe de veículo</t>
  </si>
  <si>
    <t xml:space="preserve">Buscar valor na aba A.IV - Lubrificantes </t>
  </si>
  <si>
    <t>Instrução de preenchimento</t>
  </si>
  <si>
    <t>%</t>
  </si>
  <si>
    <t>Buscar valor no Anexo V</t>
  </si>
  <si>
    <t>Custos Ambientais (CAB)</t>
  </si>
  <si>
    <t>Buscar valor no Anexo VIII</t>
  </si>
  <si>
    <t>R$/veículo</t>
  </si>
  <si>
    <t>Nominador para ponderação do VEC</t>
  </si>
  <si>
    <t>Denominador para ponderação do VEC</t>
  </si>
  <si>
    <t>Combustível (CMB)</t>
  </si>
  <si>
    <t>ARLA 32 (CAR)</t>
  </si>
  <si>
    <t>Rodagem (CRD)</t>
  </si>
  <si>
    <t>Peças e Acessórios (CPA)</t>
  </si>
  <si>
    <t>Consumo total / mês</t>
  </si>
  <si>
    <t>Entrada de dados</t>
  </si>
  <si>
    <t>Resultado</t>
  </si>
  <si>
    <t>Legenda</t>
  </si>
  <si>
    <t>Custo da recapagem por estrato da frota</t>
  </si>
  <si>
    <r>
      <t>Custo da recapagem (REC</t>
    </r>
    <r>
      <rPr>
        <b/>
        <sz val="10"/>
        <color indexed="9"/>
        <rFont val="Calibri"/>
        <family val="2"/>
      </rPr>
      <t>z</t>
    </r>
    <r>
      <rPr>
        <b/>
        <sz val="11"/>
        <color indexed="9"/>
        <rFont val="Calibri"/>
        <family val="2"/>
      </rPr>
      <t>)</t>
    </r>
  </si>
  <si>
    <t>Pesquisa de mercado</t>
  </si>
  <si>
    <t>pneus</t>
  </si>
  <si>
    <t>Custo do pneu novo por estrato da frota</t>
  </si>
  <si>
    <t>Custo de pneus (PNUz)</t>
  </si>
  <si>
    <t>Custo de rodagem por estrato da frota</t>
  </si>
  <si>
    <t>Custo da rodagem (CRD)</t>
  </si>
  <si>
    <r>
      <t>Número de recapagens (</t>
    </r>
    <r>
      <rPr>
        <b/>
        <sz val="11"/>
        <color indexed="9"/>
        <rFont val="Calibri"/>
        <family val="2"/>
      </rPr>
      <t>β</t>
    </r>
    <r>
      <rPr>
        <b/>
        <sz val="11"/>
        <color indexed="9"/>
        <rFont val="Calibri"/>
        <family val="2"/>
      </rPr>
      <t>)</t>
    </r>
  </si>
  <si>
    <t>Entrada de dados com valor de referência</t>
  </si>
  <si>
    <r>
      <t xml:space="preserve">PNUz </t>
    </r>
    <r>
      <rPr>
        <b/>
        <sz val="8"/>
        <color indexed="9"/>
        <rFont val="Calibri"/>
        <family val="2"/>
      </rPr>
      <t>Mínimo</t>
    </r>
  </si>
  <si>
    <r>
      <rPr>
        <b/>
        <sz val="11"/>
        <color indexed="9"/>
        <rFont val="Calibri"/>
        <family val="2"/>
      </rPr>
      <t>PNUz</t>
    </r>
    <r>
      <rPr>
        <b/>
        <sz val="9"/>
        <color indexed="9"/>
        <rFont val="Calibri"/>
        <family val="2"/>
      </rPr>
      <t xml:space="preserve"> </t>
    </r>
    <r>
      <rPr>
        <b/>
        <sz val="8"/>
        <color indexed="9"/>
        <rFont val="Calibri"/>
        <family val="2"/>
      </rPr>
      <t>Máximo</t>
    </r>
  </si>
  <si>
    <r>
      <t>Vida útil rodagem (PNU</t>
    </r>
    <r>
      <rPr>
        <b/>
        <sz val="9"/>
        <color indexed="9"/>
        <rFont val="Calibri"/>
        <family val="2"/>
      </rPr>
      <t>z</t>
    </r>
    <r>
      <rPr>
        <b/>
        <sz val="11"/>
        <color indexed="9"/>
        <rFont val="Calibri"/>
        <family val="2"/>
      </rPr>
      <t>)</t>
    </r>
  </si>
  <si>
    <t>Depreciação (CDP)</t>
  </si>
  <si>
    <t>Despesas administrativas (CAD)</t>
  </si>
  <si>
    <t>Locação dos equipamentos e sistemas de bilhetagem e ITS (CLQ)</t>
  </si>
  <si>
    <t>Locação de garagem (CLG)</t>
  </si>
  <si>
    <t>Veículos (DVE)</t>
  </si>
  <si>
    <t>Edificações e equipamentos de garagem (DED)</t>
  </si>
  <si>
    <t>Equipamentos de bilhetagem e ITS (DEQ)</t>
  </si>
  <si>
    <t>Veículos de apoio (DVA)</t>
  </si>
  <si>
    <t>Infraestrutura (DIN)</t>
  </si>
  <si>
    <t>Veículos (RVE)</t>
  </si>
  <si>
    <t>Terrenos, edificações e equipamentos de garagem (RTE)</t>
  </si>
  <si>
    <t>Almoxarifado (RAL)</t>
  </si>
  <si>
    <t>Equipamentos de bilhetagem e ITS (REQ)</t>
  </si>
  <si>
    <t>Veículos de apoio (RVA)</t>
  </si>
  <si>
    <t>Infraestrutura (RIN)</t>
  </si>
  <si>
    <t>Operação (DOP)</t>
  </si>
  <si>
    <t>Pessoal de manutenção, administrativo e diretoria (DMA)</t>
  </si>
  <si>
    <t>Despesas gerais (CDG)</t>
  </si>
  <si>
    <t>Seguro obrigatório e taxa de licenciamento (CDS)</t>
  </si>
  <si>
    <t>Seguro de responsabilidade civil facultativo (CDR)</t>
  </si>
  <si>
    <t>IPVA</t>
  </si>
  <si>
    <t>Classe</t>
  </si>
  <si>
    <t>Idade do veículo</t>
  </si>
  <si>
    <t>Valores de referência para vida útil e valor residual por tipo de veículo</t>
  </si>
  <si>
    <t>Vida Útil (Anos)</t>
  </si>
  <si>
    <t>Valor Residual (%)</t>
  </si>
  <si>
    <t>-</t>
  </si>
  <si>
    <t>&gt;</t>
  </si>
  <si>
    <t>Faixa etária (t) anos</t>
  </si>
  <si>
    <t>Microônibus e Miniônibus</t>
  </si>
  <si>
    <t>Midiônibus e Básico</t>
  </si>
  <si>
    <t xml:space="preserve">Microônibus </t>
  </si>
  <si>
    <t>Número de veículos por classe e idade</t>
  </si>
  <si>
    <t>λz</t>
  </si>
  <si>
    <t>DVE</t>
  </si>
  <si>
    <t>Depreciação dos veículos</t>
  </si>
  <si>
    <t>Depreciação dos veículos - etapa de cálculo</t>
  </si>
  <si>
    <t>Valores de referência para vida útil e valor residual das edificações e equipamentos de garagem</t>
  </si>
  <si>
    <t>Equipamentos de garagem</t>
  </si>
  <si>
    <t>ϖ=</t>
  </si>
  <si>
    <t>τ=</t>
  </si>
  <si>
    <t>χ=</t>
  </si>
  <si>
    <t>Equip. Bilhetagem e ITS</t>
  </si>
  <si>
    <t>Veículos de apoio</t>
  </si>
  <si>
    <t xml:space="preserve">Edificações </t>
  </si>
  <si>
    <t>Infraestrutura</t>
  </si>
  <si>
    <t>anos</t>
  </si>
  <si>
    <t>RVE</t>
  </si>
  <si>
    <t>Remuneração dos veículos - etapa de cálculo</t>
  </si>
  <si>
    <t>Capital investido em terrenos, edificações e equipamentos de garagem</t>
  </si>
  <si>
    <t>Coeficientes de remuneração do capital</t>
  </si>
  <si>
    <t>Coeficiente</t>
  </si>
  <si>
    <t xml:space="preserve">Valor </t>
  </si>
  <si>
    <t>ε</t>
  </si>
  <si>
    <t>η</t>
  </si>
  <si>
    <t>RTE =</t>
  </si>
  <si>
    <t>Valor praticado</t>
  </si>
  <si>
    <t>Buscar valor no Anexo XII</t>
  </si>
  <si>
    <t>Buscar valor no Anexo XIII</t>
  </si>
  <si>
    <t>Taxas e Seguros</t>
  </si>
  <si>
    <t>R$/ano</t>
  </si>
  <si>
    <t>R$/mês</t>
  </si>
  <si>
    <t>Serviços de terceiros, compartilhados e locações</t>
  </si>
  <si>
    <t>R$/veículo/ano</t>
  </si>
  <si>
    <t>unidades</t>
  </si>
  <si>
    <r>
      <t>Quant. viagens prog. p/ linhas de ônibus "</t>
    </r>
    <r>
      <rPr>
        <b/>
        <i/>
        <sz val="10"/>
        <color indexed="9"/>
        <rFont val="Calibri"/>
        <family val="2"/>
      </rPr>
      <t>l</t>
    </r>
    <r>
      <rPr>
        <b/>
        <sz val="10"/>
        <color indexed="9"/>
        <rFont val="Calibri"/>
        <family val="2"/>
      </rPr>
      <t>" em um tipo de dia de operação "</t>
    </r>
    <r>
      <rPr>
        <b/>
        <i/>
        <sz val="10"/>
        <color indexed="9"/>
        <rFont val="Calibri"/>
        <family val="2"/>
      </rPr>
      <t>k</t>
    </r>
    <r>
      <rPr>
        <b/>
        <sz val="10"/>
        <color indexed="9"/>
        <rFont val="Calibri"/>
        <family val="2"/>
      </rPr>
      <t xml:space="preserve">" (KV[k]l) </t>
    </r>
  </si>
  <si>
    <r>
      <t>km prog. p/ linha de ônibus "</t>
    </r>
    <r>
      <rPr>
        <b/>
        <i/>
        <sz val="10"/>
        <color indexed="9"/>
        <rFont val="Calibri"/>
        <family val="2"/>
      </rPr>
      <t>l"</t>
    </r>
    <r>
      <rPr>
        <b/>
        <sz val="10"/>
        <color indexed="9"/>
        <rFont val="Calibri"/>
        <family val="2"/>
      </rPr>
      <t xml:space="preserve"> em um tipo de dia de operação "</t>
    </r>
    <r>
      <rPr>
        <b/>
        <i/>
        <sz val="10"/>
        <color indexed="9"/>
        <rFont val="Calibri"/>
        <family val="2"/>
      </rPr>
      <t>k"</t>
    </r>
    <r>
      <rPr>
        <b/>
        <sz val="10"/>
        <color indexed="9"/>
        <rFont val="Calibri"/>
        <family val="2"/>
      </rPr>
      <t xml:space="preserve"> (KL[k]l) </t>
    </r>
  </si>
  <si>
    <t>Unidade: dias</t>
  </si>
  <si>
    <t>Unidade: viagens</t>
  </si>
  <si>
    <t>Unidade: km</t>
  </si>
  <si>
    <t>Preço do óleo diesel .....................................................</t>
  </si>
  <si>
    <t>Coeficiente de correlação do consumo de lubrificante relacionado ao consumo de óleo diesel ..........................</t>
  </si>
  <si>
    <t>Preço do Arla 32 ..........................................................</t>
  </si>
  <si>
    <t>Coeficiente de correlação do consumo do ARLA 32 relacionado ao preço do óleo diesel ...............................</t>
  </si>
  <si>
    <t>215/75 R17,6 ..............................</t>
  </si>
  <si>
    <t>275/80 R22,6 ..............................</t>
  </si>
  <si>
    <t>295/80 R22,6 ..............................</t>
  </si>
  <si>
    <r>
      <t>Salário do Motorista (SAL</t>
    </r>
    <r>
      <rPr>
        <i/>
        <sz val="8"/>
        <rFont val="Arial"/>
        <family val="2"/>
      </rPr>
      <t>mot</t>
    </r>
    <r>
      <rPr>
        <i/>
        <sz val="10"/>
        <rFont val="Arial"/>
        <family val="2"/>
      </rPr>
      <t>) .......................................</t>
    </r>
  </si>
  <si>
    <r>
      <t>Salário do Cobrador (SAL</t>
    </r>
    <r>
      <rPr>
        <i/>
        <sz val="8"/>
        <rFont val="Arial"/>
        <family val="2"/>
      </rPr>
      <t>cob</t>
    </r>
    <r>
      <rPr>
        <i/>
        <sz val="10"/>
        <rFont val="Arial"/>
        <family val="2"/>
      </rPr>
      <t>) .......................................</t>
    </r>
  </si>
  <si>
    <r>
      <t>Salário do Despachante (SAL</t>
    </r>
    <r>
      <rPr>
        <i/>
        <sz val="8"/>
        <rFont val="Arial"/>
        <family val="2"/>
      </rPr>
      <t>des</t>
    </r>
    <r>
      <rPr>
        <i/>
        <sz val="10"/>
        <rFont val="Arial"/>
        <family val="2"/>
      </rPr>
      <t>) .................................</t>
    </r>
  </si>
  <si>
    <r>
      <t>Benefícios do Motorista (BEN</t>
    </r>
    <r>
      <rPr>
        <i/>
        <sz val="8"/>
        <rFont val="Arial"/>
        <family val="2"/>
      </rPr>
      <t>mot</t>
    </r>
    <r>
      <rPr>
        <i/>
        <sz val="10"/>
        <rFont val="Arial"/>
        <family val="2"/>
      </rPr>
      <t>) .................................</t>
    </r>
  </si>
  <si>
    <r>
      <t>Benefícios do Cobrador (BEN</t>
    </r>
    <r>
      <rPr>
        <i/>
        <sz val="8"/>
        <rFont val="Arial"/>
        <family val="2"/>
      </rPr>
      <t>cob</t>
    </r>
    <r>
      <rPr>
        <i/>
        <sz val="10"/>
        <rFont val="Arial"/>
        <family val="2"/>
      </rPr>
      <t>) .................................</t>
    </r>
  </si>
  <si>
    <r>
      <t>Benefícios do Despachante (BEN</t>
    </r>
    <r>
      <rPr>
        <i/>
        <sz val="8"/>
        <rFont val="Arial"/>
        <family val="2"/>
      </rPr>
      <t>des</t>
    </r>
    <r>
      <rPr>
        <i/>
        <sz val="10"/>
        <rFont val="Arial"/>
        <family val="2"/>
      </rPr>
      <t>) ...........................</t>
    </r>
  </si>
  <si>
    <r>
      <t>Fator de utilização dos Motoristas (FUT</t>
    </r>
    <r>
      <rPr>
        <i/>
        <sz val="8"/>
        <rFont val="Arial"/>
        <family val="2"/>
      </rPr>
      <t>mot</t>
    </r>
    <r>
      <rPr>
        <i/>
        <sz val="10"/>
        <rFont val="Arial"/>
        <family val="2"/>
      </rPr>
      <t>) ..................</t>
    </r>
  </si>
  <si>
    <r>
      <t>Fator de utilização dos Cobradores (FUT</t>
    </r>
    <r>
      <rPr>
        <i/>
        <sz val="8"/>
        <rFont val="Arial"/>
        <family val="2"/>
      </rPr>
      <t>cob</t>
    </r>
    <r>
      <rPr>
        <i/>
        <sz val="10"/>
        <rFont val="Arial"/>
        <family val="2"/>
      </rPr>
      <t>) ................</t>
    </r>
  </si>
  <si>
    <r>
      <t>Fator de utilização dos Despachantes (FUT</t>
    </r>
    <r>
      <rPr>
        <i/>
        <sz val="8"/>
        <rFont val="Arial"/>
        <family val="2"/>
      </rPr>
      <t>des</t>
    </r>
    <r>
      <rPr>
        <i/>
        <sz val="10"/>
        <rFont val="Arial"/>
        <family val="2"/>
      </rPr>
      <t>) .............</t>
    </r>
  </si>
  <si>
    <r>
      <t>Fator de utilização físico dos Motoristas (FUF</t>
    </r>
    <r>
      <rPr>
        <i/>
        <sz val="8"/>
        <rFont val="Arial"/>
        <family val="2"/>
      </rPr>
      <t>mot</t>
    </r>
    <r>
      <rPr>
        <i/>
        <sz val="10"/>
        <rFont val="Arial"/>
        <family val="2"/>
      </rPr>
      <t>) ..........</t>
    </r>
  </si>
  <si>
    <r>
      <t>Fator de utilização físico dos Cobradores (FUF</t>
    </r>
    <r>
      <rPr>
        <i/>
        <sz val="8"/>
        <rFont val="Arial"/>
        <family val="2"/>
      </rPr>
      <t>cob</t>
    </r>
    <r>
      <rPr>
        <i/>
        <sz val="10"/>
        <rFont val="Arial"/>
        <family val="2"/>
      </rPr>
      <t>) ........</t>
    </r>
  </si>
  <si>
    <r>
      <t>Fator de utilização físico dos Despachantes (FUF</t>
    </r>
    <r>
      <rPr>
        <i/>
        <sz val="8"/>
        <rFont val="Arial"/>
        <family val="2"/>
      </rPr>
      <t>des</t>
    </r>
    <r>
      <rPr>
        <i/>
        <sz val="10"/>
        <rFont val="Arial"/>
        <family val="2"/>
      </rPr>
      <t>) ....</t>
    </r>
  </si>
  <si>
    <t>Encargo Social (ECS) ...................................................</t>
  </si>
  <si>
    <t>Despesas  pessoal de manutenção, administrativo e diretoria em relação ao pessoal operacional (Θ) ..............</t>
  </si>
  <si>
    <t>Seguro obrigatório por veículo (VAS ) .............................</t>
  </si>
  <si>
    <t>Taxa de licenciamento por veículo (VAT) ........................</t>
  </si>
  <si>
    <t>Seguro de responsabilidade civil facultativo (CDR) ..........</t>
  </si>
  <si>
    <t>IPVA ...........................................................................</t>
  </si>
  <si>
    <t>Tempo de contrato a partir da data de realização do investimento (DUC) ......................................................</t>
  </si>
  <si>
    <t>Valor do investimento em infraestrutura (VIN) .................</t>
  </si>
  <si>
    <t>Custos de investimento no terreno (CIT) .........................</t>
  </si>
  <si>
    <t>Valor investido em edificações (CIE) ..............................</t>
  </si>
  <si>
    <t>Valor investido em equipamentos de garagem (CIG) ........</t>
  </si>
  <si>
    <t>Valor anual da locação por equipamento locado por veículo (QL) .................................................................</t>
  </si>
  <si>
    <t>Valor anual da locação de cada conjunto de equipamentos (QEL)......................................................</t>
  </si>
  <si>
    <t>Quantidade de conjuntos de equipamentos locados (QEQ) .........................................................................</t>
  </si>
  <si>
    <t>Locação de garagem (CLG) ...........................................</t>
  </si>
  <si>
    <t>Despesas de Comercialização, serviços prestados em terminais/estações de transferência e centrais de controle da operação (CCM) .......................................................</t>
  </si>
  <si>
    <t>Custo Variável</t>
  </si>
  <si>
    <t>Custo Fixo</t>
  </si>
  <si>
    <t>Remuneração da prestação dos serviços (RPS)</t>
  </si>
  <si>
    <t>Imposto sobre serviços de qualquer natureza (ISSQN) ....</t>
  </si>
  <si>
    <t>Programa de integração social (PIS) ..............................</t>
  </si>
  <si>
    <t>Taxa de ger. e adm. do sistema de transp. ou taxa de regulação do serviço e taxa de adm. de terminais ...........</t>
  </si>
  <si>
    <t>Contribuição para o financiamento da seguridade social (COFINS) ....................................................................</t>
  </si>
  <si>
    <t>INSS ...........................................................................</t>
  </si>
  <si>
    <t>ICMS ...........................................................................</t>
  </si>
  <si>
    <t>Outros tributos .............................................................</t>
  </si>
  <si>
    <t>Cálculo do custo total mensal com impostos e tributos (CT)</t>
  </si>
  <si>
    <t>Detalhado:</t>
  </si>
  <si>
    <t>Consolidado mensal:</t>
  </si>
  <si>
    <t>Deseja informar dados de modo (marcar X):</t>
  </si>
  <si>
    <t>Quilometragem programada média mensal do sistema (consolidada):</t>
  </si>
  <si>
    <t>Custo total</t>
  </si>
  <si>
    <t>Passageiros pagantes</t>
  </si>
  <si>
    <t>0. Instruções</t>
  </si>
  <si>
    <t>são entradas de dados e precisam de preenchimento.</t>
  </si>
  <si>
    <t>são resultados e não devem ser preenchidas.</t>
  </si>
  <si>
    <t>Consumo do Arla 32</t>
  </si>
  <si>
    <t>Valores de referência para Consumo do Arla 32 em ônibus</t>
  </si>
  <si>
    <t>Consumo de Peças e Acessórios</t>
  </si>
  <si>
    <t>Valores de referência para custos ambientais</t>
  </si>
  <si>
    <t>Custos ambientais</t>
  </si>
  <si>
    <t>Média mensal de passageiros pagantes</t>
  </si>
  <si>
    <t>Média mensal consolidada:</t>
  </si>
  <si>
    <r>
      <t>Valor do veículo novo por classe de veículo (VEC</t>
    </r>
    <r>
      <rPr>
        <b/>
        <i/>
        <sz val="8"/>
        <rFont val="Calibri"/>
        <family val="2"/>
      </rPr>
      <t>z</t>
    </r>
    <r>
      <rPr>
        <b/>
        <i/>
        <sz val="11"/>
        <rFont val="Calibri"/>
        <family val="2"/>
      </rPr>
      <t>)</t>
    </r>
  </si>
  <si>
    <t>VEC</t>
  </si>
  <si>
    <r>
      <t>VEC</t>
    </r>
    <r>
      <rPr>
        <b/>
        <sz val="11"/>
        <color indexed="9"/>
        <rFont val="Calibri"/>
        <family val="2"/>
      </rPr>
      <t>[básico]</t>
    </r>
  </si>
  <si>
    <t>Valor do veículo novo por classe de veículo sem rodagem (VECz[Ø])</t>
  </si>
  <si>
    <t>Tarifa pública de preponderante vigente (TPU)</t>
  </si>
  <si>
    <t>litro/km</t>
  </si>
  <si>
    <t>coeficiente de correlação do consumo de lubrificante relacionado ao consumo do óleo diesel</t>
  </si>
  <si>
    <t xml:space="preserve"> l/km</t>
  </si>
  <si>
    <t>Perecentual de referência inclidente sobre despesas DMA</t>
  </si>
  <si>
    <t>Faixa</t>
  </si>
  <si>
    <t>(%)</t>
  </si>
  <si>
    <t>10 a 22</t>
  </si>
  <si>
    <t>23 a 45</t>
  </si>
  <si>
    <t>46 a 78</t>
  </si>
  <si>
    <t>79 a 121</t>
  </si>
  <si>
    <t>Frota</t>
  </si>
  <si>
    <t>122 a 174</t>
  </si>
  <si>
    <t>Preço médio ônibus básico novo .........................</t>
  </si>
  <si>
    <t>Buscar valor na aba 4.7.1.VEC</t>
  </si>
  <si>
    <t>r</t>
  </si>
  <si>
    <t>Vida Útil das Edificações (VUE)</t>
  </si>
  <si>
    <t>Vida Útil dos equipamentos de garagem (VUQ)</t>
  </si>
  <si>
    <t>Fator de correlação entre os custos ambientais e o preço médio do ônibus básico novo ...............................</t>
  </si>
  <si>
    <t>x-a.</t>
  </si>
  <si>
    <t>Fator de remuneração dos equipamentos de bilhetagem e ITS</t>
  </si>
  <si>
    <t>FRE</t>
  </si>
  <si>
    <t>dados de entrada</t>
  </si>
  <si>
    <t>x-b.</t>
  </si>
  <si>
    <t>FRV</t>
  </si>
  <si>
    <t>FRI</t>
  </si>
  <si>
    <t>VUI</t>
  </si>
  <si>
    <t>TRI</t>
  </si>
  <si>
    <t>j</t>
  </si>
  <si>
    <t>médio</t>
  </si>
  <si>
    <r>
      <rPr>
        <b/>
        <sz val="12"/>
        <color indexed="9"/>
        <rFont val="Calibri"/>
        <family val="2"/>
      </rPr>
      <t>θ</t>
    </r>
    <r>
      <rPr>
        <b/>
        <i/>
        <sz val="12"/>
        <color indexed="9"/>
        <rFont val="Times New Roman"/>
        <family val="1"/>
      </rPr>
      <t>min</t>
    </r>
  </si>
  <si>
    <r>
      <rPr>
        <b/>
        <sz val="12"/>
        <color indexed="9"/>
        <rFont val="Calibri"/>
        <family val="2"/>
      </rPr>
      <t>θ</t>
    </r>
    <r>
      <rPr>
        <b/>
        <i/>
        <sz val="12"/>
        <color indexed="9"/>
        <rFont val="Times New Roman"/>
        <family val="1"/>
      </rPr>
      <t>max</t>
    </r>
  </si>
  <si>
    <t>Taxa de Remuneração do Capital (TRC)</t>
  </si>
  <si>
    <t>κz [t]</t>
  </si>
  <si>
    <t>XV</t>
  </si>
  <si>
    <t>Cálculo Simplificado do Coeficiente da Remuneração da Prestação de Serviço (RPS)</t>
  </si>
  <si>
    <t>Risco</t>
  </si>
  <si>
    <t>Baixo</t>
  </si>
  <si>
    <t>Médio</t>
  </si>
  <si>
    <t>Alto</t>
  </si>
  <si>
    <t>Gama</t>
  </si>
  <si>
    <t>Nível de Segurança 95%</t>
  </si>
  <si>
    <t>Nível de Segurança 90%</t>
  </si>
  <si>
    <t>Nível de Segurança 85%</t>
  </si>
  <si>
    <t>XV-a</t>
  </si>
  <si>
    <t>Nível de Segurança a ser adotado (NS)</t>
  </si>
  <si>
    <t>Baixo Risco</t>
  </si>
  <si>
    <t>valores de referência de acordo com o nível de segurança adotado</t>
  </si>
  <si>
    <t>XV-b.</t>
  </si>
  <si>
    <t>Coeficiente de Risco a ser assumido no projeto (Ri)</t>
  </si>
  <si>
    <t>Ri</t>
  </si>
  <si>
    <t>XV-c</t>
  </si>
  <si>
    <t>Coeficiente do RPS (Ɣ)</t>
  </si>
  <si>
    <t>Ɣ</t>
  </si>
  <si>
    <t>Cálculo Detalhado do Coeficiente da Remuneração da Prestação de Serviço (RPS)</t>
  </si>
  <si>
    <t>XV-d</t>
  </si>
  <si>
    <t>Dimensão</t>
  </si>
  <si>
    <t>Impacto sobre a equação financeira</t>
  </si>
  <si>
    <t>Situações em Que não se Aplica</t>
  </si>
  <si>
    <t>Risco Médio</t>
  </si>
  <si>
    <t>ATRIBUIÇÃO</t>
  </si>
  <si>
    <t>Implantação de Veículos e Sistemas</t>
  </si>
  <si>
    <t>Elevação de preços e/ou prazos de implantação dos ativos por mudanças nos parâmetros de preços praticados ou escassez de insumos no mercado.</t>
  </si>
  <si>
    <t>Investimentos acima do previsto com período de implantação mais longo do que o planejado podem implicar em postergação e redução de receita ou aplicação de sanções previstas em contrato .</t>
  </si>
  <si>
    <t>Projetos consolidados, em que a tarifa seja calculada para o período subsequente.</t>
  </si>
  <si>
    <t>Novos projetos que envolvam apenas a operação de serviços (movimentação de passageiros). 
Risco centrado na aquisição de ativos imobiliários para implantação de garagem alinhada a estrutura de custos e operação preconizada.</t>
  </si>
  <si>
    <t>Novos projetos que envolvam serviços complementares, tais como a operação de terminais e outros</t>
  </si>
  <si>
    <t>Novos projetos de alta complexidade, que envolvam a execução de obras, implantação de sistemas complexos e a operação e manutenção de múltiplos serviços</t>
  </si>
  <si>
    <t>Dificuldades de implantação e integração dos elementos tecnológicos da concessão</t>
  </si>
  <si>
    <t>Maiores custos com a integração de sistemas. No limite dos casos, necessidade de repactuação contratual de componentes impossíveis de serem integrados. Possíveis atrasos para o início da operação.</t>
  </si>
  <si>
    <t>Tecnologias conhecidas, comprovadas, testadas, com fornecedores conhecidos e capacitados.</t>
  </si>
  <si>
    <t xml:space="preserve">Tecnologia em implementação em poucos locais, com fornecedores trabalhando sobre o desenvolvimento de projetos, produtos e processos. </t>
  </si>
  <si>
    <t>Projetos que contemplem rupturas tecnológicas, com elevado nível de inovação previsto sobre o status corrente.</t>
  </si>
  <si>
    <t>Projetos que não dependam da alteração da infraestrutura física ou de condições operacionais (a exemplo da velocidade vigente) para atendimento aos resultados previstos.
Situação urbana consolidada, sem perspectiva de degradação</t>
  </si>
  <si>
    <t>Projetos que não dependam da alteração da infraestrutura física ou de condições operacionais (a exemplo da velocidade vigente) para atendimento aos resultados previstos.
Situação urbana apresentando piora nas condições de tráfego.</t>
  </si>
  <si>
    <t>Projetos que dependam de melhoras operacionais para que os resultados técnicos e financeiros previstos sejam atingidos</t>
  </si>
  <si>
    <t>Projetos que dependam da implantação de terminais, corredores, infraestrutura ou outros elementos para que o resultado planejado seja atingido</t>
  </si>
  <si>
    <t>Regulamentação
Ambiental</t>
  </si>
  <si>
    <t>Necessidade de ampliação de investimentos e prazo para atendimento às condições ambientais pré-estabelecidas</t>
  </si>
  <si>
    <t>Renovação de contratos ou recálculo da tarifa vigente, sem alteração relevante nas condições ambientais previstas.</t>
  </si>
  <si>
    <t>Projetos que apresentem exigência de certificação ambiental para todos os bens móveis e imóveis da empresa operadora</t>
  </si>
  <si>
    <t>Riscos ambientais incorridos na fase de operação dos serviços.</t>
  </si>
  <si>
    <t>Necessidade de investimentos complementares em frota, sistemas e obras civis para atendimento a mudanças na norma ambiental. Aumento dos custos operacionais ou diminuição da produtividade dos veículos.</t>
  </si>
  <si>
    <t>Tarifa calculada para um prazo de tempo relativamente reduzido. Caso ocorram alterações no marco regulatório dentro do horizonte de tempo, a empresa operadora somente necessitará adequar-se após a revisão tarifária seguinte.</t>
  </si>
  <si>
    <t>Projetos que prevejam a repactuação das condições financeiras iniciais em processo extraordinário a partir da ocorrência de fato de príncipe.</t>
  </si>
  <si>
    <t>Projetos que não apresentem clareza na condição contratual poderão ensejar litígio acerca da responsabilidade por arcar com os sobrecustos apontados.</t>
  </si>
  <si>
    <t>Projetos em que não exista previsão contratual delimitando a responsabilidade privada sobre alterações relevantes do marco regulatório.</t>
  </si>
  <si>
    <t>Projetos integralmente remunerados com base em custo (ponderação entre frota disponibilizada e km percorrida), em que a demanda não influencie a remuneração da empresa operadora.</t>
  </si>
  <si>
    <t>Projetos em que a remuneração da empresa operadora esteja vinculada à demanda total transportada (não apenas à demanda equivalente) ou que prevejam o ressarcimento por usuários gratuitos.</t>
  </si>
  <si>
    <t>Projetos com remuneração baseada exclusivamente em usuários equivalentes, em que a previsão de ressarcimento de novas gratuidades seja prevista de forma explícita e garantida.</t>
  </si>
  <si>
    <t>Projetos que não façam referência explícita a esta questão.</t>
  </si>
  <si>
    <t>Redução da demanda da empresa operadora, com correspondente perda de receita tarifária.</t>
  </si>
  <si>
    <t>Projetos remunerados pela tarifa equivalente em sistemas maduros de transporte.</t>
  </si>
  <si>
    <t>Projetos em fase de implantação ou consolidação de uma rede integrada, com remuneração baseada em usuários equivalentes.</t>
  </si>
  <si>
    <t>Perda de Receita: Atos do Poder Público</t>
  </si>
  <si>
    <t>Atrasos no reajuste da tarifa.</t>
  </si>
  <si>
    <t>Constrição financeira da empresa concessionária, que poderá resultar em (i) necessidade de contratação de novos financiamentos pela iniciativa privada com custos progressivos (percepção do aumento do risco sistêmico do projeto; (ii) Inadimplemento das obrigações financeiras, levando à paralização dos serviços e (iii) antecipação da terminação contratual.</t>
  </si>
  <si>
    <t>Previsão contratual de sanções para o Poder Concedente por inadimplemento de obrigações contratuais.</t>
  </si>
  <si>
    <t>Inexistência de mecanismos de sanção formal do Poder Público por inadimplemento de obrigações contratuais.</t>
  </si>
  <si>
    <t>Inadimplemento do Poder Concedente com relação ao complemento da arrecadação tarifária, em decorrência de problemas fiscais próprios ou aumento da necessidade de recursos públicos por descasamento entre o direito de recebimento da operadora e a arrecadação do sistema por diferentes razões: (1) Reajuste do valor da tarifa de usuário inferior ao contratualmente estabelecido para a remuneração da empresa operadora (2) Revisão da Tarifa de Remuneração por desequilíbrio econômico financeiro do Contrato. 
Caso o Poder Concedente não conte com recursos para a cobertura da diferença entre o valor tarifário arrecadado e o valor de remuneração devido para a empresa, a empresa operadora enfrentará constrição de caixa para honrar suas despesas correntes.</t>
  </si>
  <si>
    <t>Redução da remuneração de curto prazo da empresa operadora gera a necessidade de financiamento do déficit de caixa. Quebra contratual eleva a percepção de risco da empresa concessionária pelo mercado financeiro, resultando em um aumento imediato do custo de financiamento para a cobertura do déficit de arrecadação. Caso o inadimplemento perdure por prazo relevante a empresa operadora poderá falir.</t>
  </si>
  <si>
    <t>Projetos que não dependam de recursos públicos em qualquer medida.</t>
  </si>
  <si>
    <t>Atrasos no repasse de recursos ou insuficiência de recursos na câmara de compensação podem resultar nas situações de constrição financeira acima descritas.</t>
  </si>
  <si>
    <t>Projetos com câmara de compensação independente, gerenciada por ente financeiro especializado com garantias firmes de pagamento.</t>
  </si>
  <si>
    <t>Projetos com câmara de compensação dependente, gerenciada por órgão público.</t>
  </si>
  <si>
    <t>Projetos com parcela expressiva da receita oriunda de repasses da câmara de compensação e gestão subordinada à operação da rede de transportes.</t>
  </si>
  <si>
    <t>Dificuldades de Operação dos serviços</t>
  </si>
  <si>
    <t>Acidentes que envolvam usuários e/ou funcionários da concessionária</t>
  </si>
  <si>
    <t>Desembolsos com os custos associados à ocorrência de acidentes, principalmente que envolvam pessoas, não são parte prevista no plano de custos da empresa operadora, mas possuem elevada probabilidade de ocorrência no longo prazo. Seguros representam uma proteção limitada ao potencial total de perdas.</t>
  </si>
  <si>
    <t>Não há distinção entre contratos pela natureza aleatória das ocorrências e características do setor. Eventuais distinções devem se referir às probabilidades locais de ocorrência de incidentes. Contudo, tais estatísticas são raras e de difícil introdução no modelo. Consideração do valor homogêneo de perda  baseado em estatísticas gerais do setor.</t>
  </si>
  <si>
    <t>Novos padrões técnicos e operacionais impostos para a empresa operadora.</t>
  </si>
  <si>
    <t>Necessidade de ampliação da capacidade de transporte, sem qualquer contraparte nas receitas esperadas. Sobrecustos na forma de investimentos e custos operacionais.</t>
  </si>
  <si>
    <t>Estrutura contratual que preveja a avaliação do impacto financeiro de novas obrigações contratuais antes de sua implementação, com tempestiva recomposição das condições contratadas.</t>
  </si>
  <si>
    <t>Contratos que lancem o tema para o processo de revisão ordinária</t>
  </si>
  <si>
    <t>Contratos sem previsão de mecanismos de recomposição de equilíbrio.</t>
  </si>
  <si>
    <t>Atos de desordem civil resultam na vandalização de veículos e impedimento à operação.</t>
  </si>
  <si>
    <t>Sobrecustos com investimentos em veículos, garagens e outros ativos operacionais. Perdas de receitas.
Não há seguros patrimoniais para estas perdas e os custos usualmente não são previstos em contrato.</t>
  </si>
  <si>
    <t>Contratos em que exista a previsão de reequilíbrio contratual imediato pelas perdas incorridas pela empresa operaora em casos de atos de desordem civil.</t>
  </si>
  <si>
    <t>Contratos em que exista a previsão de reequilíbrio contratual em períodos ordinários pelas perdas incorridas pela empresa operaora em casos de atos de desordem civil.</t>
  </si>
  <si>
    <t>Contratos em que a previsão de recomposição do equilíbrio não sejam expressas tornam a alocação deste risco exclusiva da empresa operadora.</t>
  </si>
  <si>
    <t>Questões 
Trabalhistas</t>
  </si>
  <si>
    <t>Aumento do custeio operacional da empresa operadora.</t>
  </si>
  <si>
    <t>Projetos onde o reajuste tarifário incorpore completamente o reajuste do valor de salários, seja por planilha, seja por fórmula paramétrica, de forma antecipada ao reajuste tarifário.</t>
  </si>
  <si>
    <t>Projetos onde o reajuste tarifário incorpore completamente o reajuste do valor de salários pretérito, seja por planilha, seja por fórmula paramétrica.</t>
  </si>
  <si>
    <t>Projetos onde o reajuste salarial seja compensado somente de forma parcial no reajuste da tarifa ou que atribua a diferença entre reajustes ao processo de recomposição de equilíbrio financeiro em revisão ordinária</t>
  </si>
  <si>
    <t>Projetos em que o reajuste tarifário se faz de forma dissociada dos custos da empresa .</t>
  </si>
  <si>
    <t>Greves resultam na paralização total ou parcial dos serviços.</t>
  </si>
  <si>
    <t>Deficiência operacional e reflexos financeiros pelo período de paralização sem que exista a possibilidade de cobrança de performance da empresa privada.</t>
  </si>
  <si>
    <t>Não há distinção entre contratos pela natureza setorial de ocorrências. Em tese, todos os contratos estão sujeitos à ocorrência deste perfil de questão.</t>
  </si>
  <si>
    <t>Inexistência de previsão contratual atribui a assunção integral deste risco à empresa concessionária.</t>
  </si>
  <si>
    <t>Ambiente
Macroeconômico</t>
  </si>
  <si>
    <t>Alterações significativas nas condições de financiamento de veículos, afetando a capacidade de investimento da empresa operadora.</t>
  </si>
  <si>
    <t>Risco de sobrecustos financeiros da concessionária, podendo inviabilizar a concessão ou provocar impactos adicionais sobre as condições de financiabilidade de novos projetos.</t>
  </si>
  <si>
    <t>Contemplar variações com o custo de capital na fórmula de reajuste (paramétrico) da tarifa.</t>
  </si>
  <si>
    <t>Determinar contratualmente que situações de constrição poderão ensejar reequilíbrio econômico financeiro do contrato, por exemplo, por meio de revisão das obrigações de investir ou renovar frota.</t>
  </si>
  <si>
    <t>Não se Aplica</t>
  </si>
  <si>
    <t>Gratuidades</t>
  </si>
  <si>
    <t>XV-e</t>
  </si>
  <si>
    <t>Cálculo dos riscos</t>
  </si>
  <si>
    <t>Incidência</t>
  </si>
  <si>
    <t>Impacto de Evento a 5%</t>
  </si>
  <si>
    <t>Desvio Padrão</t>
  </si>
  <si>
    <t>Variância</t>
  </si>
  <si>
    <t>Nível de Segurança</t>
  </si>
  <si>
    <t>Risco adotado (%)</t>
  </si>
  <si>
    <t>XV-f</t>
  </si>
  <si>
    <t xml:space="preserve">Definição do Nível de Segurança </t>
  </si>
  <si>
    <t>Buscar valor no Anexo XV</t>
  </si>
  <si>
    <t xml:space="preserve">Taxa de remuneração do serviço (RPS) </t>
  </si>
  <si>
    <t>Taxa de remuneração do serviço (RPS)  ......................</t>
  </si>
  <si>
    <t>DESCRIÇÃO</t>
  </si>
  <si>
    <t>VALOR MENSAL</t>
  </si>
  <si>
    <t>CUSTO/KM</t>
  </si>
  <si>
    <t>CUSTO/VEÍCULO</t>
  </si>
  <si>
    <t>REMUNERAÇÃO PELA PRESTAÇÃO DE SERVIÇO (RPS)</t>
  </si>
  <si>
    <t>Lei Federal nº 12.715 (INSS).................................................................................................................................................................................................</t>
  </si>
  <si>
    <t>ISSQN........................................................................................................................................................................................................................................................................</t>
  </si>
  <si>
    <t>ICMS...............................................................................................................................................................................................................</t>
  </si>
  <si>
    <t>Taxa de gerenciamento.........................................................................................................................................................................................</t>
  </si>
  <si>
    <t>PIS..................................................................................................................................................................................................................</t>
  </si>
  <si>
    <t>Outros...............................................................................................................................................................................................................</t>
  </si>
  <si>
    <t>x</t>
  </si>
  <si>
    <t>subtotal</t>
  </si>
  <si>
    <t>Deseja calcular o coeficiente de remuneração da prestação de serviço (marcar X):</t>
  </si>
  <si>
    <t>Metodologia simplificada</t>
  </si>
  <si>
    <t>Metodologia detalhada</t>
  </si>
  <si>
    <t>(ir para o item XV.a)</t>
  </si>
  <si>
    <t>(ir para o item XV.d)</t>
  </si>
  <si>
    <t xml:space="preserve">μ </t>
  </si>
  <si>
    <t>5 a 6 anos</t>
  </si>
  <si>
    <t>acima de 10 anos</t>
  </si>
  <si>
    <t>Valor Residual das Edificações (VRE)</t>
  </si>
  <si>
    <t>Buscar valor no Anexo IX</t>
  </si>
  <si>
    <t>Classificação do veículo</t>
  </si>
  <si>
    <t>Caminhão-oficina</t>
  </si>
  <si>
    <t>Caminhão-guincho</t>
  </si>
  <si>
    <t>Caminhoneta</t>
  </si>
  <si>
    <t>Automóvel (básico)</t>
  </si>
  <si>
    <t>Motocicleta</t>
  </si>
  <si>
    <t>Valor do veículo</t>
  </si>
  <si>
    <t>Valores de referência para vida útil e valor residual dos veículos de apoio</t>
  </si>
  <si>
    <t xml:space="preserve">Valor Residual </t>
  </si>
  <si>
    <t>meses</t>
  </si>
  <si>
    <t>Salário do Fiscal (SAL fisc) .................................</t>
  </si>
  <si>
    <t>Fator de utilização físico dos Fiscais (FUF fisc)...............</t>
  </si>
  <si>
    <t>Fator de utilização dos Fiscais (FUT fisc).......................</t>
  </si>
  <si>
    <t>Benefícios do Fiscal (BEN fisc) ...........................</t>
  </si>
  <si>
    <t>Valor do investimento (veículos de apoio )</t>
  </si>
  <si>
    <t>Jornada de Trabalho Comumente Utilizadas</t>
  </si>
  <si>
    <t>Duração Equivalente da Operação - Dia útil</t>
  </si>
  <si>
    <t>Matriz de Riscos e Atribuições</t>
  </si>
  <si>
    <t>Outras despesas</t>
  </si>
  <si>
    <t>Despesas médicas obrigatórias</t>
  </si>
  <si>
    <t>Serviço de conservação e manutenção</t>
  </si>
  <si>
    <t>Total de Material de consumo</t>
  </si>
  <si>
    <t>Total de Serviços públicos</t>
  </si>
  <si>
    <t>Total de Serviço de comunicação</t>
  </si>
  <si>
    <t>Total de Serviço terceirizados</t>
  </si>
  <si>
    <t>Material de limpeza.....................................................................</t>
  </si>
  <si>
    <t>Material de escritório...............................................................................</t>
  </si>
  <si>
    <t>Material de consumo de informática............................................................</t>
  </si>
  <si>
    <t>Material de manutenção predial......................................................</t>
  </si>
  <si>
    <t>Água e esgoto......................................................................</t>
  </si>
  <si>
    <t>Energia elétrica................................................................................</t>
  </si>
  <si>
    <t>Correios...........................................................................</t>
  </si>
  <si>
    <t>Telefone................................................................................</t>
  </si>
  <si>
    <t>Rádio........................................................................................</t>
  </si>
  <si>
    <t>Internet...............................................................................</t>
  </si>
  <si>
    <r>
      <t>Equipamento de segurança</t>
    </r>
    <r>
      <rPr>
        <sz val="10"/>
        <rFont val="Arial"/>
        <family val="2"/>
      </rPr>
      <t>................................................................</t>
    </r>
  </si>
  <si>
    <r>
      <rPr>
        <b/>
        <sz val="10"/>
        <rFont val="Arial"/>
        <family val="2"/>
      </rPr>
      <t>Frete e carretos</t>
    </r>
    <r>
      <rPr>
        <sz val="10"/>
        <rFont val="Arial"/>
        <family val="2"/>
      </rPr>
      <t>...................................................................</t>
    </r>
  </si>
  <si>
    <r>
      <rPr>
        <b/>
        <sz val="10"/>
        <rFont val="Arial"/>
        <family val="2"/>
      </rPr>
      <t>Treinamento de pessoal</t>
    </r>
    <r>
      <rPr>
        <sz val="10"/>
        <rFont val="Arial"/>
        <family val="2"/>
      </rPr>
      <t>............................................................................</t>
    </r>
  </si>
  <si>
    <r>
      <rPr>
        <b/>
        <sz val="10"/>
        <rFont val="Arial"/>
        <family val="2"/>
      </rPr>
      <t>Imposto Predial e Territorial Urbano (IPTU)</t>
    </r>
    <r>
      <rPr>
        <sz val="10"/>
        <rFont val="Arial"/>
        <family val="2"/>
      </rPr>
      <t>............................................................................</t>
    </r>
  </si>
  <si>
    <r>
      <rPr>
        <b/>
        <sz val="10"/>
        <rFont val="Arial"/>
        <family val="2"/>
      </rPr>
      <t>Livros e periódicos</t>
    </r>
    <r>
      <rPr>
        <sz val="10"/>
        <rFont val="Arial"/>
        <family val="2"/>
      </rPr>
      <t>..................................................................................</t>
    </r>
  </si>
  <si>
    <r>
      <rPr>
        <b/>
        <sz val="10"/>
        <rFont val="Arial"/>
        <family val="2"/>
      </rPr>
      <t>Transporte de valores nas garagens</t>
    </r>
    <r>
      <rPr>
        <sz val="10"/>
        <rFont val="Arial"/>
        <family val="2"/>
      </rPr>
      <t>.......................................................</t>
    </r>
  </si>
  <si>
    <t>Serviços terceirizados de segurança patrimonial e portaria..........</t>
  </si>
  <si>
    <t>Serviços terceirizados de lavagem de veículos.................................</t>
  </si>
  <si>
    <t>Serviços terceirizados de manutenção predial...........................</t>
  </si>
  <si>
    <t>Serviços terceirizados de despachante admnistrativos.........................</t>
  </si>
  <si>
    <t>Serviços terceirizados na área contábil...................................</t>
  </si>
  <si>
    <t>Serviços terceirizados na área de medicina do trabalho....................</t>
  </si>
  <si>
    <t>Serviços terceirizados na área jurídica..................................</t>
  </si>
  <si>
    <t>Serviços terceirizados na área de informática............................</t>
  </si>
  <si>
    <t>Serviços terceirizados na área de recursos humanos..................</t>
  </si>
  <si>
    <r>
      <rPr>
        <b/>
        <sz val="10"/>
        <rFont val="Arial"/>
        <family val="2"/>
      </rPr>
      <t>Outros</t>
    </r>
    <r>
      <rPr>
        <sz val="10"/>
        <rFont val="Arial"/>
        <family val="2"/>
      </rPr>
      <t>..........................................................................................</t>
    </r>
  </si>
  <si>
    <t>.</t>
  </si>
  <si>
    <t>Buscar valor no Anexo XVI</t>
  </si>
  <si>
    <t>Despesas gerais (CDG)................................................................................</t>
  </si>
  <si>
    <r>
      <t>TP</t>
    </r>
    <r>
      <rPr>
        <b/>
        <i/>
        <vertAlign val="subscript"/>
        <sz val="11"/>
        <color indexed="8"/>
        <rFont val="Calibri"/>
        <family val="2"/>
      </rPr>
      <t>1</t>
    </r>
  </si>
  <si>
    <r>
      <t>TP</t>
    </r>
    <r>
      <rPr>
        <b/>
        <i/>
        <vertAlign val="subscript"/>
        <sz val="11"/>
        <color indexed="8"/>
        <rFont val="Calibri"/>
        <family val="2"/>
      </rPr>
      <t>2</t>
    </r>
  </si>
  <si>
    <r>
      <t>TP</t>
    </r>
    <r>
      <rPr>
        <b/>
        <i/>
        <vertAlign val="subscript"/>
        <sz val="11"/>
        <color indexed="8"/>
        <rFont val="Calibri"/>
        <family val="2"/>
      </rPr>
      <t>3</t>
    </r>
  </si>
  <si>
    <r>
      <t>TP</t>
    </r>
    <r>
      <rPr>
        <b/>
        <i/>
        <vertAlign val="subscript"/>
        <sz val="11"/>
        <color indexed="8"/>
        <rFont val="Calibri"/>
        <family val="2"/>
      </rPr>
      <t>4</t>
    </r>
  </si>
  <si>
    <r>
      <t>TP</t>
    </r>
    <r>
      <rPr>
        <b/>
        <i/>
        <vertAlign val="subscript"/>
        <sz val="11"/>
        <color indexed="8"/>
        <rFont val="Calibri"/>
        <family val="2"/>
      </rPr>
      <t>5</t>
    </r>
  </si>
  <si>
    <r>
      <t>TP</t>
    </r>
    <r>
      <rPr>
        <b/>
        <i/>
        <vertAlign val="subscript"/>
        <sz val="11"/>
        <color indexed="8"/>
        <rFont val="Calibri"/>
        <family val="2"/>
      </rPr>
      <t>6</t>
    </r>
  </si>
  <si>
    <r>
      <t>TP</t>
    </r>
    <r>
      <rPr>
        <b/>
        <i/>
        <vertAlign val="subscript"/>
        <sz val="11"/>
        <color indexed="8"/>
        <rFont val="Calibri"/>
        <family val="2"/>
      </rPr>
      <t>7</t>
    </r>
  </si>
  <si>
    <r>
      <t>TP</t>
    </r>
    <r>
      <rPr>
        <b/>
        <i/>
        <vertAlign val="subscript"/>
        <sz val="11"/>
        <color indexed="8"/>
        <rFont val="Calibri"/>
        <family val="2"/>
      </rPr>
      <t>8</t>
    </r>
    <r>
      <rPr>
        <sz val="10"/>
        <rFont val="Arial"/>
        <family val="2"/>
      </rPr>
      <t/>
    </r>
  </si>
  <si>
    <r>
      <t>TP</t>
    </r>
    <r>
      <rPr>
        <b/>
        <i/>
        <vertAlign val="subscript"/>
        <sz val="11"/>
        <color indexed="8"/>
        <rFont val="Calibri"/>
        <family val="2"/>
      </rPr>
      <t>9</t>
    </r>
    <r>
      <rPr>
        <sz val="10"/>
        <rFont val="Arial"/>
        <family val="2"/>
      </rPr>
      <t/>
    </r>
  </si>
  <si>
    <r>
      <t>TP</t>
    </r>
    <r>
      <rPr>
        <b/>
        <i/>
        <vertAlign val="subscript"/>
        <sz val="11"/>
        <color indexed="8"/>
        <rFont val="Calibri"/>
        <family val="2"/>
      </rPr>
      <t>10</t>
    </r>
    <r>
      <rPr>
        <sz val="10"/>
        <rFont val="Arial"/>
        <family val="2"/>
      </rPr>
      <t/>
    </r>
  </si>
  <si>
    <r>
      <t>Tarifas públicas "i" vigentes (</t>
    </r>
    <r>
      <rPr>
        <b/>
        <i/>
        <sz val="11"/>
        <color indexed="9"/>
        <rFont val="Calibri"/>
        <family val="2"/>
      </rPr>
      <t>TPi</t>
    </r>
    <r>
      <rPr>
        <b/>
        <sz val="11"/>
        <color indexed="9"/>
        <rFont val="Calibri"/>
        <family val="2"/>
      </rPr>
      <t>) (em R$)</t>
    </r>
  </si>
  <si>
    <t>Comum</t>
  </si>
  <si>
    <t>Vale-Transporte</t>
  </si>
  <si>
    <t>Estudante</t>
  </si>
  <si>
    <t>Gratuidade</t>
  </si>
  <si>
    <t>Outros</t>
  </si>
  <si>
    <t>Passageiros Transportados (PT)</t>
  </si>
  <si>
    <r>
      <rPr>
        <b/>
        <sz val="11"/>
        <rFont val="Calibri"/>
        <family val="2"/>
      </rPr>
      <t xml:space="preserve">1.1.2. Passageiros Equivalentes </t>
    </r>
    <r>
      <rPr>
        <b/>
        <i/>
        <sz val="11"/>
        <rFont val="Calibri"/>
        <family val="2"/>
      </rPr>
      <t>(PE)</t>
    </r>
  </si>
  <si>
    <t>1.1 Passageiros</t>
  </si>
  <si>
    <r>
      <rPr>
        <b/>
        <sz val="11"/>
        <rFont val="Calibri"/>
        <family val="2"/>
      </rPr>
      <t>1.1.2</t>
    </r>
    <r>
      <rPr>
        <b/>
        <i/>
        <sz val="11"/>
        <rFont val="Calibri"/>
        <family val="2"/>
      </rPr>
      <t>.b Deseja informar dados de modo (marcar X):</t>
    </r>
  </si>
  <si>
    <r>
      <t xml:space="preserve">(ir para o item </t>
    </r>
    <r>
      <rPr>
        <b/>
        <sz val="11"/>
        <rFont val="Calibri"/>
        <family val="2"/>
      </rPr>
      <t>1.1.2</t>
    </r>
    <r>
      <rPr>
        <b/>
        <i/>
        <sz val="11"/>
        <rFont val="Calibri"/>
        <family val="2"/>
      </rPr>
      <t>.c)</t>
    </r>
  </si>
  <si>
    <r>
      <t xml:space="preserve">(ir para o item </t>
    </r>
    <r>
      <rPr>
        <b/>
        <sz val="11"/>
        <rFont val="Calibri"/>
        <family val="2"/>
      </rPr>
      <t>1.1.2</t>
    </r>
    <r>
      <rPr>
        <b/>
        <i/>
        <sz val="11"/>
        <rFont val="Calibri"/>
        <family val="2"/>
      </rPr>
      <t>.d)</t>
    </r>
  </si>
  <si>
    <r>
      <rPr>
        <b/>
        <sz val="11"/>
        <rFont val="Calibri"/>
        <family val="2"/>
      </rPr>
      <t>1.1.2</t>
    </r>
    <r>
      <rPr>
        <b/>
        <i/>
        <sz val="11"/>
        <rFont val="Calibri"/>
        <family val="2"/>
      </rPr>
      <t>.a Tarifa Pública Vigente (TPU)</t>
    </r>
  </si>
  <si>
    <r>
      <t>[m]</t>
    </r>
    <r>
      <rPr>
        <b/>
        <i/>
        <sz val="11"/>
        <color indexed="8"/>
        <rFont val="Calibri"/>
        <family val="2"/>
      </rPr>
      <t>1</t>
    </r>
  </si>
  <si>
    <r>
      <t>[m]</t>
    </r>
    <r>
      <rPr>
        <b/>
        <i/>
        <sz val="11"/>
        <color indexed="8"/>
        <rFont val="Calibri"/>
        <family val="2"/>
      </rPr>
      <t>2</t>
    </r>
    <r>
      <rPr>
        <sz val="10"/>
        <rFont val="Arial"/>
        <family val="2"/>
      </rPr>
      <t/>
    </r>
  </si>
  <si>
    <r>
      <t>[m]</t>
    </r>
    <r>
      <rPr>
        <b/>
        <i/>
        <sz val="11"/>
        <color indexed="8"/>
        <rFont val="Calibri"/>
        <family val="2"/>
      </rPr>
      <t>3</t>
    </r>
    <r>
      <rPr>
        <sz val="10"/>
        <rFont val="Arial"/>
        <family val="2"/>
      </rPr>
      <t/>
    </r>
  </si>
  <si>
    <r>
      <t>[m]</t>
    </r>
    <r>
      <rPr>
        <b/>
        <i/>
        <sz val="11"/>
        <color indexed="8"/>
        <rFont val="Calibri"/>
        <family val="2"/>
      </rPr>
      <t>4</t>
    </r>
    <r>
      <rPr>
        <sz val="10"/>
        <rFont val="Arial"/>
        <family val="2"/>
      </rPr>
      <t/>
    </r>
  </si>
  <si>
    <r>
      <t>[m]</t>
    </r>
    <r>
      <rPr>
        <b/>
        <i/>
        <sz val="11"/>
        <color indexed="8"/>
        <rFont val="Calibri"/>
        <family val="2"/>
      </rPr>
      <t>5</t>
    </r>
    <r>
      <rPr>
        <sz val="10"/>
        <rFont val="Arial"/>
        <family val="2"/>
      </rPr>
      <t/>
    </r>
  </si>
  <si>
    <r>
      <t>[m]</t>
    </r>
    <r>
      <rPr>
        <b/>
        <i/>
        <sz val="11"/>
        <color indexed="8"/>
        <rFont val="Calibri"/>
        <family val="2"/>
      </rPr>
      <t>6</t>
    </r>
    <r>
      <rPr>
        <sz val="10"/>
        <rFont val="Arial"/>
        <family val="2"/>
      </rPr>
      <t/>
    </r>
  </si>
  <si>
    <r>
      <t>[m]</t>
    </r>
    <r>
      <rPr>
        <b/>
        <i/>
        <sz val="11"/>
        <color indexed="8"/>
        <rFont val="Calibri"/>
        <family val="2"/>
      </rPr>
      <t>7</t>
    </r>
    <r>
      <rPr>
        <sz val="10"/>
        <rFont val="Arial"/>
        <family val="2"/>
      </rPr>
      <t/>
    </r>
  </si>
  <si>
    <r>
      <t>[m]</t>
    </r>
    <r>
      <rPr>
        <b/>
        <i/>
        <sz val="11"/>
        <color indexed="8"/>
        <rFont val="Calibri"/>
        <family val="2"/>
      </rPr>
      <t>8</t>
    </r>
    <r>
      <rPr>
        <sz val="10"/>
        <rFont val="Arial"/>
        <family val="2"/>
      </rPr>
      <t/>
    </r>
  </si>
  <si>
    <r>
      <t>[m]</t>
    </r>
    <r>
      <rPr>
        <b/>
        <i/>
        <sz val="11"/>
        <color indexed="8"/>
        <rFont val="Calibri"/>
        <family val="2"/>
      </rPr>
      <t>9</t>
    </r>
    <r>
      <rPr>
        <sz val="10"/>
        <rFont val="Arial"/>
        <family val="2"/>
      </rPr>
      <t/>
    </r>
  </si>
  <si>
    <r>
      <t>[m]</t>
    </r>
    <r>
      <rPr>
        <b/>
        <i/>
        <sz val="11"/>
        <color indexed="8"/>
        <rFont val="Calibri"/>
        <family val="2"/>
      </rPr>
      <t>10</t>
    </r>
    <r>
      <rPr>
        <sz val="10"/>
        <rFont val="Arial"/>
        <family val="2"/>
      </rPr>
      <t/>
    </r>
  </si>
  <si>
    <r>
      <t>[m]</t>
    </r>
    <r>
      <rPr>
        <b/>
        <i/>
        <sz val="11"/>
        <color indexed="8"/>
        <rFont val="Calibri"/>
        <family val="2"/>
      </rPr>
      <t>11</t>
    </r>
    <r>
      <rPr>
        <sz val="10"/>
        <rFont val="Arial"/>
        <family val="2"/>
      </rPr>
      <t/>
    </r>
  </si>
  <si>
    <r>
      <t>[m]</t>
    </r>
    <r>
      <rPr>
        <b/>
        <i/>
        <sz val="11"/>
        <color indexed="8"/>
        <rFont val="Calibri"/>
        <family val="2"/>
      </rPr>
      <t>12</t>
    </r>
    <r>
      <rPr>
        <sz val="10"/>
        <rFont val="Arial"/>
        <family val="2"/>
      </rPr>
      <t/>
    </r>
  </si>
  <si>
    <t>Passageiros Pagantes por mês [m] e Tarifa Pública [TP]i (passageiros/mês)</t>
  </si>
  <si>
    <r>
      <rPr>
        <b/>
        <sz val="11"/>
        <rFont val="Calibri"/>
        <family val="2"/>
      </rPr>
      <t>1.1.2</t>
    </r>
    <r>
      <rPr>
        <b/>
        <i/>
        <sz val="11"/>
        <rFont val="Calibri"/>
        <family val="2"/>
      </rPr>
      <t>.c. Passageiros pagantes por tarifa pública (Anexo I)</t>
    </r>
  </si>
  <si>
    <t>1.1.2.d. Média mensal de Passageiros pagantes por tarifa pública</t>
  </si>
  <si>
    <t>1.1.2.e.  Receita média mensal por tarifa pública (RT)</t>
  </si>
  <si>
    <t>Receita média mensal por tarifa pública (em R$)</t>
  </si>
  <si>
    <t>1.2 Quilometragem Programada (KP)</t>
  </si>
  <si>
    <r>
      <rPr>
        <b/>
        <sz val="10"/>
        <rFont val="Calibri"/>
        <family val="2"/>
      </rPr>
      <t>1.2</t>
    </r>
    <r>
      <rPr>
        <b/>
        <i/>
        <sz val="10"/>
        <rFont val="Calibri"/>
        <family val="2"/>
      </rPr>
      <t>.a.</t>
    </r>
  </si>
  <si>
    <r>
      <rPr>
        <b/>
        <sz val="10"/>
        <rFont val="Calibri"/>
        <family val="2"/>
      </rPr>
      <t>1.2</t>
    </r>
    <r>
      <rPr>
        <b/>
        <i/>
        <sz val="10"/>
        <rFont val="Calibri"/>
        <family val="2"/>
      </rPr>
      <t>.b.</t>
    </r>
  </si>
  <si>
    <r>
      <rPr>
        <b/>
        <sz val="10"/>
        <rFont val="Calibri"/>
        <family val="2"/>
      </rPr>
      <t>1.2</t>
    </r>
    <r>
      <rPr>
        <b/>
        <i/>
        <sz val="10"/>
        <rFont val="Calibri"/>
        <family val="2"/>
      </rPr>
      <t>.c.</t>
    </r>
  </si>
  <si>
    <r>
      <rPr>
        <b/>
        <sz val="10"/>
        <rFont val="Calibri"/>
        <family val="2"/>
      </rPr>
      <t>1.2</t>
    </r>
    <r>
      <rPr>
        <b/>
        <i/>
        <sz val="10"/>
        <rFont val="Calibri"/>
        <family val="2"/>
      </rPr>
      <t>.d.</t>
    </r>
  </si>
  <si>
    <r>
      <t xml:space="preserve">(ir para o item </t>
    </r>
    <r>
      <rPr>
        <b/>
        <sz val="10"/>
        <rFont val="Calibri"/>
        <family val="2"/>
      </rPr>
      <t>1.2</t>
    </r>
    <r>
      <rPr>
        <b/>
        <i/>
        <sz val="10"/>
        <rFont val="Calibri"/>
        <family val="2"/>
      </rPr>
      <t>.c)</t>
    </r>
  </si>
  <si>
    <r>
      <t xml:space="preserve">(ir para o item </t>
    </r>
    <r>
      <rPr>
        <b/>
        <sz val="10"/>
        <rFont val="Calibri"/>
        <family val="2"/>
      </rPr>
      <t>1.2</t>
    </r>
    <r>
      <rPr>
        <b/>
        <i/>
        <sz val="10"/>
        <rFont val="Calibri"/>
        <family val="2"/>
      </rPr>
      <t>.d)</t>
    </r>
  </si>
  <si>
    <t>Extensão programada:</t>
  </si>
  <si>
    <t>Quilometragem programanda por linha (detalhada)[Anexo II]:</t>
  </si>
  <si>
    <t>Quant. de dias de operação no período de análise M (QD[K])</t>
  </si>
  <si>
    <t>1.3 Frota total (FT)</t>
  </si>
  <si>
    <r>
      <rPr>
        <b/>
        <sz val="11"/>
        <rFont val="Calibri"/>
        <family val="2"/>
      </rPr>
      <t>1.3.1. Classificação dos veículos</t>
    </r>
    <r>
      <rPr>
        <b/>
        <i/>
        <sz val="11"/>
        <rFont val="Calibri"/>
        <family val="2"/>
      </rPr>
      <t xml:space="preserve"> (PT)</t>
    </r>
  </si>
  <si>
    <t>ABNT NBR 15570:2009</t>
  </si>
  <si>
    <t>Capacidade</t>
  </si>
  <si>
    <t>PBT mínimo</t>
  </si>
  <si>
    <t>Comprimento total máximo</t>
  </si>
  <si>
    <t>5t</t>
  </si>
  <si>
    <t>8t</t>
  </si>
  <si>
    <t>10t</t>
  </si>
  <si>
    <t>16t</t>
  </si>
  <si>
    <t>26t</t>
  </si>
  <si>
    <t>36t</t>
  </si>
  <si>
    <t>7,4m</t>
  </si>
  <si>
    <t>9,6m</t>
  </si>
  <si>
    <t>14m</t>
  </si>
  <si>
    <t>18,6m</t>
  </si>
  <si>
    <t>30m</t>
  </si>
  <si>
    <t>11,5m</t>
  </si>
  <si>
    <t>Entre 10 e 20 passageiros (exclusivamente sentados)</t>
  </si>
  <si>
    <t>Mínimo de 30 passageiros (sentados e em pé)</t>
  </si>
  <si>
    <t>Mínimo de 40 passageiros  (sentados e em pé)</t>
  </si>
  <si>
    <t>Mínimo de 70 passageiros  (sentados e em pé)</t>
  </si>
  <si>
    <t>Mínimo de 80 passageiros  (sentados e em pé)</t>
  </si>
  <si>
    <t>Mínimo de 100 passageiros  (sentados e em pé)</t>
  </si>
  <si>
    <t>Mínimo de 160 passageiros  (sentados e em pé)</t>
  </si>
  <si>
    <t xml:space="preserve">1.3.2. Cálculo da Frota </t>
  </si>
  <si>
    <r>
      <t>1.3.2.</t>
    </r>
    <r>
      <rPr>
        <b/>
        <i/>
        <sz val="11"/>
        <rFont val="Calibri"/>
        <family val="2"/>
      </rPr>
      <t>a</t>
    </r>
    <r>
      <rPr>
        <b/>
        <sz val="11"/>
        <rFont val="Calibri"/>
        <family val="2"/>
      </rPr>
      <t xml:space="preserve"> Composição da frota (tipologia do veículo)</t>
    </r>
  </si>
  <si>
    <t>1.3.2.b Composição da frota (classe e idade do veículo)</t>
  </si>
  <si>
    <r>
      <t>1.3.2.</t>
    </r>
    <r>
      <rPr>
        <b/>
        <i/>
        <sz val="11"/>
        <rFont val="Calibri"/>
        <family val="2"/>
      </rPr>
      <t>c</t>
    </r>
    <r>
      <rPr>
        <b/>
        <sz val="11"/>
        <rFont val="Calibri"/>
        <family val="2"/>
      </rPr>
      <t xml:space="preserve"> Composição da frota (veículos de apoio)</t>
    </r>
  </si>
  <si>
    <t>1.4 Indicadores</t>
  </si>
  <si>
    <t>1.4.1. Índice de Passageiros por Quilômetro (IPK)</t>
  </si>
  <si>
    <r>
      <rPr>
        <b/>
        <sz val="11"/>
        <rFont val="Calibri"/>
        <family val="2"/>
      </rPr>
      <t>1.1.1. Passageiros Transportados</t>
    </r>
    <r>
      <rPr>
        <b/>
        <i/>
        <sz val="11"/>
        <rFont val="Calibri"/>
        <family val="2"/>
      </rPr>
      <t xml:space="preserve"> por mês (PT)</t>
    </r>
  </si>
  <si>
    <t>Média mensal de passageiros transportados (PT)</t>
  </si>
  <si>
    <t>1.4.2. Percurso Médio Mensal (PMM)</t>
  </si>
  <si>
    <t>Frota operante =</t>
  </si>
  <si>
    <t>Frota funcional =</t>
  </si>
  <si>
    <t>Frota total=</t>
  </si>
  <si>
    <t>Percurso Médio Mensal</t>
  </si>
  <si>
    <t>km/veículo</t>
  </si>
  <si>
    <t>1.4.3. Passageiros Transportados por Veículos por Dia (PVD)</t>
  </si>
  <si>
    <t>Passageiros transportados por dia</t>
  </si>
  <si>
    <t>Periodo de análise N (em dias)</t>
  </si>
  <si>
    <t>dias</t>
  </si>
  <si>
    <t>Pass/veículo/dia</t>
  </si>
  <si>
    <t>1.4.4. Passageiros Equivalentes por Veículos (PMV)</t>
  </si>
  <si>
    <t>Passageiros equivalentes por veículo</t>
  </si>
  <si>
    <t>1.4.1.1</t>
  </si>
  <si>
    <t>1.4.1.2</t>
  </si>
  <si>
    <t>1.4.1.3</t>
  </si>
  <si>
    <t>1.4.1.4</t>
  </si>
  <si>
    <t>1.4.1.5</t>
  </si>
  <si>
    <t>1.4.1.6</t>
  </si>
  <si>
    <t>1.4.1.7</t>
  </si>
  <si>
    <t>1.4.2.1</t>
  </si>
  <si>
    <t>1.4.2.2</t>
  </si>
  <si>
    <t>1.4.2.3</t>
  </si>
  <si>
    <t>1.4.2.4</t>
  </si>
  <si>
    <t>1.4.3.1</t>
  </si>
  <si>
    <t>1.4.3.2</t>
  </si>
  <si>
    <t>1.4.4.1</t>
  </si>
  <si>
    <t>2.1.a Consumo de Combustível</t>
  </si>
  <si>
    <t>2.1.b.i</t>
  </si>
  <si>
    <t>2.1.b.ii</t>
  </si>
  <si>
    <t>2.1.b.iii</t>
  </si>
  <si>
    <t>2.1.b.iv</t>
  </si>
  <si>
    <t>2.1</t>
  </si>
  <si>
    <t>2.1.1</t>
  </si>
  <si>
    <t>2.1.2</t>
  </si>
  <si>
    <t>2.1.3</t>
  </si>
  <si>
    <t>2.1.4</t>
  </si>
  <si>
    <t>2.1.5</t>
  </si>
  <si>
    <t>2.1.6</t>
  </si>
  <si>
    <t>2.2</t>
  </si>
  <si>
    <t>2.2.1.1</t>
  </si>
  <si>
    <t>2.2.1.2</t>
  </si>
  <si>
    <t>2.2.1.3</t>
  </si>
  <si>
    <t>2.2.1.4</t>
  </si>
  <si>
    <t>2.2.1.5</t>
  </si>
  <si>
    <t>2.2.2.</t>
  </si>
  <si>
    <t>2.2.1.</t>
  </si>
  <si>
    <t>2.2.2.1</t>
  </si>
  <si>
    <t>2.2.2.2</t>
  </si>
  <si>
    <t>2.2.2.3</t>
  </si>
  <si>
    <t>2.2.2.4</t>
  </si>
  <si>
    <t>2.2.2.5</t>
  </si>
  <si>
    <t>2.2.2.6</t>
  </si>
  <si>
    <t>Remuneração do Capital Imobilizado (CRC)</t>
  </si>
  <si>
    <t>Custos com pessoal (CPS)</t>
  </si>
  <si>
    <t>2.2.3.</t>
  </si>
  <si>
    <t>2.2.3.1</t>
  </si>
  <si>
    <t>2.2.3.2</t>
  </si>
  <si>
    <t>2.2.4.</t>
  </si>
  <si>
    <t>2.2.4.1</t>
  </si>
  <si>
    <t>2.2.4.2</t>
  </si>
  <si>
    <t>2.2.4.3</t>
  </si>
  <si>
    <t>2.2.4.4</t>
  </si>
  <si>
    <t>2.2.4.5</t>
  </si>
  <si>
    <t>2.2.5.</t>
  </si>
  <si>
    <t>2.2.6.</t>
  </si>
  <si>
    <t>2.2.7.</t>
  </si>
  <si>
    <t>Locação de Veículos de Apoio (CLA)</t>
  </si>
  <si>
    <t>Outras despesas operacionais (CCM)</t>
  </si>
  <si>
    <t>2.3</t>
  </si>
  <si>
    <t>2.3.1.</t>
  </si>
  <si>
    <t>2.3.2.</t>
  </si>
  <si>
    <t>2.4</t>
  </si>
  <si>
    <t>4.</t>
  </si>
  <si>
    <t>ANEXO IV – RELAÇÃO ENTRE O PREÇO DE LUBRIFICANTES E CONSUMO DE ÓLEO DIESEL</t>
  </si>
  <si>
    <t>3.5</t>
  </si>
  <si>
    <t>3.6</t>
  </si>
  <si>
    <t>3.7</t>
  </si>
  <si>
    <t>3.8</t>
  </si>
  <si>
    <t>3.9</t>
  </si>
  <si>
    <t>3.10</t>
  </si>
  <si>
    <t>3.11</t>
  </si>
  <si>
    <t>3.12</t>
  </si>
  <si>
    <t>3.13</t>
  </si>
  <si>
    <t>3.14</t>
  </si>
  <si>
    <t>3.15</t>
  </si>
  <si>
    <t>3.1.1</t>
  </si>
  <si>
    <t>3.2.1</t>
  </si>
  <si>
    <t>3.3.1</t>
  </si>
  <si>
    <t>3.3.2</t>
  </si>
  <si>
    <t>3.4.1</t>
  </si>
  <si>
    <t>3.4.2</t>
  </si>
  <si>
    <t>3.5.1</t>
  </si>
  <si>
    <t>3.6.1</t>
  </si>
  <si>
    <t>3.7.1</t>
  </si>
  <si>
    <t>3.7.2</t>
  </si>
  <si>
    <t>3.7.3</t>
  </si>
  <si>
    <t>3.7.4</t>
  </si>
  <si>
    <t>3.7.5</t>
  </si>
  <si>
    <t>3.7.6</t>
  </si>
  <si>
    <t>3.7.7</t>
  </si>
  <si>
    <t>3.7.8</t>
  </si>
  <si>
    <t>3.7.9</t>
  </si>
  <si>
    <t>3.7.10</t>
  </si>
  <si>
    <t>3.7.11</t>
  </si>
  <si>
    <t>3.7.12</t>
  </si>
  <si>
    <t>3.7.13</t>
  </si>
  <si>
    <t>3.7.14</t>
  </si>
  <si>
    <t>3.7.15</t>
  </si>
  <si>
    <t>3.7.16</t>
  </si>
  <si>
    <t>3.7.17</t>
  </si>
  <si>
    <t>3.7.18</t>
  </si>
  <si>
    <t>3.8.1</t>
  </si>
  <si>
    <t>3.8.2</t>
  </si>
  <si>
    <t>3.8.3</t>
  </si>
  <si>
    <t>3.8.4</t>
  </si>
  <si>
    <t>3.9.1</t>
  </si>
  <si>
    <t>3.9.2</t>
  </si>
  <si>
    <t>3.9.3</t>
  </si>
  <si>
    <t xml:space="preserve"> Estoque equivalente do almoxarifado.................................</t>
  </si>
  <si>
    <t>3.10.1</t>
  </si>
  <si>
    <t>Taxa do Sistema Especial de Liquidação e de Custódia (SELIC)..</t>
  </si>
  <si>
    <t xml:space="preserve"> Índice Nacional de Preços ao Consumidor Amplo (IPCA)...........</t>
  </si>
  <si>
    <t>3.10.2</t>
  </si>
  <si>
    <t>3.10.3</t>
  </si>
  <si>
    <t>3.11.1</t>
  </si>
  <si>
    <t>3.11.2</t>
  </si>
  <si>
    <t>3.11.3</t>
  </si>
  <si>
    <t>3.11.4</t>
  </si>
  <si>
    <t>3.11.5</t>
  </si>
  <si>
    <t>3.11.6</t>
  </si>
  <si>
    <t>3.11.7</t>
  </si>
  <si>
    <t>3.11.8</t>
  </si>
  <si>
    <t>3.11.9</t>
  </si>
  <si>
    <t>3.11.10</t>
  </si>
  <si>
    <t xml:space="preserve"> Vida útil dos equipamentos de bilhetagem e ITS (VUB)</t>
  </si>
  <si>
    <t xml:space="preserve"> Valor residual dos equipamentos de bilhetagem e ITS (VRB)</t>
  </si>
  <si>
    <t>Vida útil da infraestrutura(VUI)</t>
  </si>
  <si>
    <t>Locação de Veículo de Apoio (CLA)...........</t>
  </si>
  <si>
    <t>3.12.1</t>
  </si>
  <si>
    <t>3.12.2</t>
  </si>
  <si>
    <t>3.12.3</t>
  </si>
  <si>
    <t>3.12.4</t>
  </si>
  <si>
    <t>3.12.5</t>
  </si>
  <si>
    <t>3.13.1</t>
  </si>
  <si>
    <t>3.15.1</t>
  </si>
  <si>
    <t>3.15.2</t>
  </si>
  <si>
    <t>3.15.3</t>
  </si>
  <si>
    <t>3.15.4</t>
  </si>
  <si>
    <t>3.15.5</t>
  </si>
  <si>
    <t>3.15.6</t>
  </si>
  <si>
    <t>3.15.7</t>
  </si>
  <si>
    <t>ANEXO V – CONSUMO DO ARLA 32 EM ÔNIBUS</t>
  </si>
  <si>
    <t>ANEXO VI – VIDA ÚTIL E RECAPAGEM DE PNEUS</t>
  </si>
  <si>
    <t>ANEXO VII – PEÇAS E ACESSÓRIOS</t>
  </si>
  <si>
    <t>ANEXO VIII – CUSTOS AMBIENTAIS</t>
  </si>
  <si>
    <t>ANEXO IX – DEPRECIAÇÃO</t>
  </si>
  <si>
    <t>IX.a. Depreciação de veículos</t>
  </si>
  <si>
    <t>VI.a.</t>
  </si>
  <si>
    <t>VI.b.</t>
  </si>
  <si>
    <r>
      <rPr>
        <b/>
        <sz val="11"/>
        <rFont val="Calibri"/>
        <family val="2"/>
      </rPr>
      <t>IV.</t>
    </r>
    <r>
      <rPr>
        <b/>
        <i/>
        <sz val="11"/>
        <rFont val="Calibri"/>
        <family val="2"/>
      </rPr>
      <t xml:space="preserve">a </t>
    </r>
    <r>
      <rPr>
        <b/>
        <sz val="11"/>
        <rFont val="Calibri"/>
        <family val="2"/>
      </rPr>
      <t>Valor de referência</t>
    </r>
  </si>
  <si>
    <t>V.a</t>
  </si>
  <si>
    <t>VI.c.</t>
  </si>
  <si>
    <t>VI.d.</t>
  </si>
  <si>
    <t>VI.e.</t>
  </si>
  <si>
    <t>VI.f.</t>
  </si>
  <si>
    <t>VII.a</t>
  </si>
  <si>
    <t>VIII.a</t>
  </si>
  <si>
    <t>IX.a.1</t>
  </si>
  <si>
    <t>IX.a.2</t>
  </si>
  <si>
    <t>IX.a.3</t>
  </si>
  <si>
    <t>IX.a.4</t>
  </si>
  <si>
    <t>IX.a.5</t>
  </si>
  <si>
    <t>IX.b. Depreciação de edificações e equipamentos e mobiliário de garagem</t>
  </si>
  <si>
    <t>IX.b.1</t>
  </si>
  <si>
    <t>IX.b.2</t>
  </si>
  <si>
    <t>IX.b.3</t>
  </si>
  <si>
    <t>IX.b.4</t>
  </si>
  <si>
    <t>Valores de referência para vida útil dos equipamentos de bilhetagem e ITS</t>
  </si>
  <si>
    <t>IX.b.5</t>
  </si>
  <si>
    <t>IX.b.6</t>
  </si>
  <si>
    <t>ANEXO X – REMUNERAÇÃO DO CAPITAL IMOBILIZADO</t>
  </si>
  <si>
    <t>Remuneração do capital imobilizado em veículos</t>
  </si>
  <si>
    <t>X.a</t>
  </si>
  <si>
    <t>X.a.1</t>
  </si>
  <si>
    <t>X.a.2</t>
  </si>
  <si>
    <t>X.a.3</t>
  </si>
  <si>
    <t>X.a.4</t>
  </si>
  <si>
    <t>X.a.5</t>
  </si>
  <si>
    <t>Remuneração do capital imobilizado em terrenos, edificações e equipamentos de garagem</t>
  </si>
  <si>
    <t>X.b.</t>
  </si>
  <si>
    <t>X.b.1.</t>
  </si>
  <si>
    <t>X.b.2.</t>
  </si>
  <si>
    <t>coeficiente de remuneração anual do capital imobilizado em terrenos</t>
  </si>
  <si>
    <t>coeficiente de remuneração anual do capital imobilizado em edificações</t>
  </si>
  <si>
    <t>coeficiente de remuneração anual do capital imobilizado em equipamentos e mobiliário de garagem</t>
  </si>
  <si>
    <t>Remuneração do capital imobilizado emTerrenos, edificações e equipamentos de garagem (RTE)</t>
  </si>
  <si>
    <t>Remuneração do capital imobilizado em equipamentos de bilhetagem e ITS</t>
  </si>
  <si>
    <t>X.c.</t>
  </si>
  <si>
    <t>X.c.1</t>
  </si>
  <si>
    <t>Fator de remuneração dos equipamentos de bilhetagem e ITS (FRE)</t>
  </si>
  <si>
    <t>X.d.</t>
  </si>
  <si>
    <t>Remuneração do capital imobilizado em veículos de apoio</t>
  </si>
  <si>
    <t>X.d.1</t>
  </si>
  <si>
    <t>fator de remuneração de veículos de apoio (FRV)</t>
  </si>
  <si>
    <t>Remuneração do capital imobilizado em infraestrutura</t>
  </si>
  <si>
    <t>X.e.</t>
  </si>
  <si>
    <t>X.e.1</t>
  </si>
  <si>
    <t>Fator de remuneração da infraestrutura (FRI)</t>
  </si>
  <si>
    <t>ANEXO XII – FATORES DE UTILIZAÇÃO DE PESSOAL DE OPERAÇÃO E ENCARGOS SOCIAIS</t>
  </si>
  <si>
    <t>XII.a</t>
  </si>
  <si>
    <t>ANEXO XIII – MÉTODO PARA CÁLCULO DAS DESPESAS COM PESSOAL DE MANUTENÇÃO, ADMINISTRATIVO E DIRETORIA</t>
  </si>
  <si>
    <t>XIII.a</t>
  </si>
  <si>
    <t>km/mês</t>
  </si>
  <si>
    <t>passageiros/mês</t>
  </si>
  <si>
    <t>pass/veículo/mês</t>
  </si>
  <si>
    <t>2.1.b Cálculo do Valor do Veículo Básico (VEC[básico])</t>
  </si>
  <si>
    <t>2.1.b.v</t>
  </si>
  <si>
    <t>Articulado e Biarticulado</t>
  </si>
  <si>
    <t>Padron</t>
  </si>
  <si>
    <t>Tarifa Pública</t>
  </si>
  <si>
    <t>4.2</t>
  </si>
  <si>
    <t>4.2.1</t>
  </si>
  <si>
    <t>4.2.2</t>
  </si>
  <si>
    <t>4.3.1</t>
  </si>
  <si>
    <t>4.3.2</t>
  </si>
  <si>
    <t>4.2.3</t>
  </si>
  <si>
    <t>Subsídio</t>
  </si>
  <si>
    <t>Subsídio (SUB)</t>
  </si>
  <si>
    <t>Subsídio mensal para custeio da tarifa..........................................</t>
  </si>
  <si>
    <t>Verificar Anexo VI</t>
  </si>
  <si>
    <t>Remuneração dos veículos</t>
  </si>
  <si>
    <t>Coeficiente de depreciação das edificações (ϖ)</t>
  </si>
  <si>
    <t>Coeficiente de depreciação dos equipamentos (τ)</t>
  </si>
  <si>
    <r>
      <t>Coeficiente de depreciação dos equipamentos de bilhetagem e ITS (</t>
    </r>
    <r>
      <rPr>
        <b/>
        <sz val="11"/>
        <rFont val="Calibri"/>
        <family val="2"/>
      </rPr>
      <t>χ</t>
    </r>
    <r>
      <rPr>
        <b/>
        <i/>
        <sz val="11"/>
        <rFont val="Calibri"/>
        <family val="2"/>
      </rPr>
      <t>)</t>
    </r>
  </si>
  <si>
    <t>Valor investido em equipamentos de bilhetagem e ITS  (CEB)</t>
  </si>
  <si>
    <t>XVI. Cálculo das Despesas Gerais</t>
  </si>
  <si>
    <t>Despesas Gerais</t>
  </si>
  <si>
    <t>Vida residual dos equipamentos de garagem (VRG)</t>
  </si>
  <si>
    <t>3.9.4</t>
  </si>
  <si>
    <t>3.12.6</t>
  </si>
  <si>
    <t>Aumento da participação dos usuários integrados pode, em casos específicos, gerar queda de receita proporcionalmente maior do que a redução de custos</t>
  </si>
  <si>
    <t>² Os valores de referência para os insumos abaixo estão descritos no Capítulo 3 da publicação "Cálculo dos Custos dos Serviços de Transporte Coletivo Urbano por Ônibus"</t>
  </si>
  <si>
    <t>Tributos Diretos (TRD)</t>
  </si>
  <si>
    <t>Tributos Diretos (ITR)</t>
  </si>
  <si>
    <t>Riscos Relacionados aos Investimentos Públicos e produtividade</t>
  </si>
  <si>
    <t>Perda de Demanda</t>
  </si>
  <si>
    <t>Valores de referência para consumo anual de peças e acessórios</t>
  </si>
  <si>
    <r>
      <rPr>
        <b/>
        <i/>
        <sz val="11"/>
        <rFont val="Calibri"/>
        <family val="2"/>
      </rPr>
      <t>KPz:</t>
    </r>
    <r>
      <rPr>
        <b/>
        <sz val="11"/>
        <rFont val="Calibri"/>
        <family val="2"/>
      </rPr>
      <t xml:space="preserve"> média mensal da quilometragem programada para cada tipo de veículo</t>
    </r>
  </si>
  <si>
    <t xml:space="preserve">Verificar seção 1.2 do Capítulo 1 </t>
  </si>
  <si>
    <t>0 a 2 anos</t>
  </si>
  <si>
    <t>3 a 4 anos</t>
  </si>
  <si>
    <t>7 a 8 anos</t>
  </si>
  <si>
    <t>9 a 10 anos</t>
  </si>
  <si>
    <t>CUSTOS IMPACTADOS (% do Custo total)</t>
  </si>
  <si>
    <t xml:space="preserve">Risco 1- Garagens e Infraestrutura </t>
  </si>
  <si>
    <t xml:space="preserve">Risco 2- Tecnologia e sistemas </t>
  </si>
  <si>
    <t>Risco 3- Investimento público vs. Produtividade</t>
  </si>
  <si>
    <t>Risco 4 -Certificação ambiental</t>
  </si>
  <si>
    <t>Risco 5- Mudanças na normatização ambiental</t>
  </si>
  <si>
    <t>Risco 6- Risco global de demanda</t>
  </si>
  <si>
    <t>Risco 7- Gratuidades</t>
  </si>
  <si>
    <t>Risco 8- Demanda integrada</t>
  </si>
  <si>
    <t>Risco 9- Reajuste de tarifas</t>
  </si>
  <si>
    <t>Risco 10- Inadimplemento público</t>
  </si>
  <si>
    <t>Risco 11- Câmara de compesação</t>
  </si>
  <si>
    <t>Risco 12- Acidentes</t>
  </si>
  <si>
    <t>Risco 13- Alteração de padrões técnicos</t>
  </si>
  <si>
    <t>Risco 14- Desordem civil</t>
  </si>
  <si>
    <t>Risco 15- Salários acima da inflação</t>
  </si>
  <si>
    <t>Risco 16- Greve trabalhista</t>
  </si>
  <si>
    <t>Risco 17- Alteração significativa da taxa de juros</t>
  </si>
  <si>
    <r>
      <t>Impacto (9</t>
    </r>
    <r>
      <rPr>
        <b/>
        <sz val="10"/>
        <color indexed="8"/>
        <rFont val="Calibri"/>
        <family val="2"/>
      </rPr>
      <t>5%)</t>
    </r>
  </si>
  <si>
    <t>Não realização dos investimentos a cargo do Poder Público na rede de transportes que sejam necessários ao atendimento das condições técnicas e financeiras planejadas. A produtividade utilizada como referência para avaliação da viabilidade do projeto poderá depender de intervenções públicas como alteração da rede de transportes (racionalização e reprogramação), implantação de viário, terminais ou outras condições diferentes das existentes.</t>
  </si>
  <si>
    <t>Produtividade efetiva menor do que a planejada, exigindo maior necessidade de frota operacional para a realização das viagens planejadas e atendimento à demanda prevista. Desta forma, há um incremento proporcional no número de veículos e pessoal embarcado. É esperado aumento dos custos variáveis, devido ao maior de consumo de combustível por quilômetro, porém efeito é de difícil quantificação.</t>
  </si>
  <si>
    <t>Obtenção da certificação, ISO ou similar, é mais demorada ou enseja maiores custos de implantação do que o previsto.</t>
  </si>
  <si>
    <t>Projetos que apresentem exigência relativa a elementos ambientais alinhadas com a legislação vigente sobre o setor, porém sem acrescer elementos adicionais específicos.</t>
  </si>
  <si>
    <t>Projetos que apresentem exigência de certificação ambiental específica para ativos de grande porte, como garagens e centro de manutenção.</t>
  </si>
  <si>
    <t xml:space="preserve">Perda de competitividade do sistema regular face aos meios individuais ou alternativos de transporte e a perda de capacidade de pagamento dos usuários do sistema, por correção da tarifa ou redução de salários médios são consideradas. Incluem também fatos ordinários exógenos que venham a alterar de forma expressiva a demanda, tais como a abertura de uma nova linha de metrô, desativação de centros comerciais, universidades, centros de lazer e similares interferem diretamente na demanda. Deve-se contemplar também situações em que a perda de demanda decorre de atos do Poder Público, como a autorização para novos modos concorrentes de transportes, concorrência predatória de linhas de sistemas municipais ou metropolitanos sobrepostos e conivência com meios de transporte de passageiros clandestinos.
</t>
  </si>
  <si>
    <t xml:space="preserve">Redução da demanda da empresa operadora com correspondente perda de receita tarifária. 
</t>
  </si>
  <si>
    <t>Projetos onde a flexibilidade operacional pode ajustar a estrutura de despesas às novas condições de demanda, resultando em redução no valor total do negócio, mas mantendo os índices de proporcionalidade entre receitas e despesas. Contratualmente em projetos em que o contrato incorpora anualmente variações de demanda para o cálculo da tarifa</t>
  </si>
  <si>
    <t>Projetos com estrutura de custos operacionais rígidos, tornando apenas parte dos custos flexíveis o suficiente para compensarem a perda de demanda. Contratualmente em projetos em que o processo de revisão ordinária (3-5 anos) incorpore a revisão da demanda sobre o equilíbrio econômico financeiro.</t>
  </si>
  <si>
    <t>Projetos com elevada proporção do custo de capital (investimentos iniciais) sobre custos totais, além de parte expressiva dos custos operacionais ser inflexível à demanda. Contratualmente a projetos em que o risco de demanda é integralmente alocado à iniciativa privada.</t>
  </si>
  <si>
    <t>Promulgação de novas gratuidades ou aumento proporcional do número de usuários gratuitos dentro da legislação vigente, por exemplo como mudança na pirâmide etária são contempladas.</t>
  </si>
  <si>
    <t>Redução da demanda equivalente da empresa operadora, com correspondente perda de receita tarifária.</t>
  </si>
  <si>
    <t>Perda de receita: dinâmica de sistemas integrados de transportes</t>
  </si>
  <si>
    <t>Previsão de mecanismos contratuais complementares que garantam o adimplemento de obrigações do Poder Concedente, como a constituição de fundos garantidores. Alternativa é a existência de sanções contratuais de valor mais do que proporcional às perdas incorridas pela empresa concessionária. Transcorrido prazo determinado, previsão de extinção do contrato com a imposição de obrigações de ressarcimento para o Poder Público.</t>
  </si>
  <si>
    <t>Falhas na operação ou desestruturação da Câmara de Compensação e outros mecanismos de arrecadação e distribuição de recursos entre os participantes do sistema de transporte são observados. Ademais, os atrasos ou eventual insuficiência no repasse de recursos do sistema de arrecadação para a empresa impactam no custo.</t>
  </si>
  <si>
    <t xml:space="preserve">Projetos que não dependam da compensação da remuneração entre empresas operadoras </t>
  </si>
  <si>
    <t>Elevação nos custos trabalhistas por aumento de salários acima dos índices convencionais de inflação.</t>
  </si>
  <si>
    <t>Descrição do risco</t>
  </si>
  <si>
    <t>Risco 4- Certificação ambiental</t>
  </si>
  <si>
    <t>Situações em que não se Aplica</t>
  </si>
  <si>
    <t>Não há</t>
  </si>
  <si>
    <t>SOMA DAS ALÍQUOTAS DOS TRIBUTOS DIRETOS</t>
  </si>
  <si>
    <t>DED+DIN+RTE+RIN+CLG</t>
  </si>
  <si>
    <t>DEQ+REQ+CLQ+CLA+CCM</t>
  </si>
  <si>
    <t>CMB+CAB+DVE+RVE</t>
  </si>
  <si>
    <t>CUSTO TOTAL</t>
  </si>
  <si>
    <t>Índice de passageiro por quilômetro (IPK)</t>
  </si>
  <si>
    <t>DVE+RVE+DEQ+REQ+DIN+RIN+CLQ</t>
  </si>
  <si>
    <t>DOP+DMA</t>
  </si>
  <si>
    <t>CMB+CLB+CAR+CRD+CPA+CAB+DVE+RVE</t>
  </si>
  <si>
    <t>Risco baixo</t>
  </si>
  <si>
    <t>Risco Alto</t>
  </si>
  <si>
    <t xml:space="preserve"> Risco Baixo</t>
  </si>
  <si>
    <t>DOP+DVE+RVE+CDS+IPVA+CDR+CCM+DED+DEQ+RTE+RAL+REQ+CLQ+CLG+DVA+RVA+CLA+CMB</t>
  </si>
  <si>
    <t>DVE+DED+DEQ+DVA+DIN+RVE+ RTE+RAL+REQ+RVA+RIN</t>
  </si>
  <si>
    <t>Risco alto</t>
  </si>
  <si>
    <t>Risco médio</t>
  </si>
  <si>
    <t>Receita da Integração</t>
  </si>
  <si>
    <t>Consolidado:</t>
  </si>
  <si>
    <t>2.1.a.i</t>
  </si>
  <si>
    <r>
      <t xml:space="preserve">(ir para o item </t>
    </r>
    <r>
      <rPr>
        <b/>
        <sz val="10"/>
        <rFont val="Calibri"/>
        <family val="2"/>
      </rPr>
      <t>2.1.a.ii</t>
    </r>
    <r>
      <rPr>
        <b/>
        <i/>
        <sz val="10"/>
        <rFont val="Calibri"/>
        <family val="2"/>
      </rPr>
      <t>)</t>
    </r>
  </si>
  <si>
    <r>
      <t>(ir para o item 2.1.a.iii</t>
    </r>
    <r>
      <rPr>
        <b/>
        <i/>
        <sz val="10"/>
        <rFont val="Calibri"/>
        <family val="2"/>
      </rPr>
      <t>)</t>
    </r>
  </si>
  <si>
    <t>2.1.a.ii Consumo σz (l/km) para cada tipo de veículo (consolidado)</t>
  </si>
  <si>
    <t>2.1.a.vi</t>
  </si>
  <si>
    <t>2.1.a.vii  Consumo total para cada tipo de veículo</t>
  </si>
  <si>
    <t>2.1.a.iii  Quantidade de combustível utilizada por tipo de veículo (detalhado)</t>
  </si>
  <si>
    <t>2.1.a.iv  Quantidade de quilometros percorridos por tipo de veículo (detalhado)</t>
  </si>
  <si>
    <t>2.1.a.v  Consumo σz (l/km) para cada tipo de veículo (detalhado)</t>
  </si>
  <si>
    <r>
      <t xml:space="preserve">1.1.2.f.  Receita Integrada (RI) </t>
    </r>
    <r>
      <rPr>
        <b/>
        <sz val="11"/>
        <rFont val="Calibri"/>
        <family val="2"/>
      </rPr>
      <t>refere-se aos recursos ($) especificamente arrecadados nas viagens com integração. Essa informação é usada apenas na análise de risco (aba A.XV. Detalhado)</t>
    </r>
  </si>
  <si>
    <t>TOTAL CUSTOS VARIÁVEIS E FIXOS</t>
  </si>
  <si>
    <t>QUADRO RESUMO DOS CUSTOS (R$/MÊS)</t>
  </si>
  <si>
    <t>CUSTOS VARIÁVEIS</t>
  </si>
  <si>
    <t>TOTAL CUSTOS VARIÁVEIS</t>
  </si>
  <si>
    <t>CUSTOS FIXOS</t>
  </si>
  <si>
    <t>Pessoal</t>
  </si>
  <si>
    <t>Operação .............................................................................</t>
  </si>
  <si>
    <t>Administrativas</t>
  </si>
  <si>
    <t>IPVA.............................................................................................................</t>
  </si>
  <si>
    <t>Depreciação</t>
  </si>
  <si>
    <t>Remuneração</t>
  </si>
  <si>
    <t>TOTAL CUSTOS FIXOS</t>
  </si>
  <si>
    <t>TRIBUTAÇÃO</t>
  </si>
  <si>
    <t>TOTAL DE TRIBUTOS</t>
  </si>
  <si>
    <t>COFINS.....................................................................................................................................................................................................................................</t>
  </si>
  <si>
    <t>3. No caso dos anexos, o numeral romano que identifica o anexo é precedido da letra "A".</t>
  </si>
  <si>
    <t xml:space="preserve">4. As células em laranja </t>
  </si>
  <si>
    <t>5. As células em verde</t>
  </si>
  <si>
    <t>6. As células em azul</t>
  </si>
  <si>
    <t>AVISO:</t>
  </si>
  <si>
    <t>Esta planilha eletrônica foi criada como instrumento de apoio.</t>
  </si>
  <si>
    <t>A ANTP (Associação Nacional de Transportes Públicos) não assume qualquer responsabilidade pela aplicação da planilha e do método.</t>
  </si>
  <si>
    <t>O documento ¨Custos dos serviços de transporte público por ônibus - Método de Cálculo". ANTP (2017) está disponível no site www.antp.org.br</t>
  </si>
  <si>
    <t>Quaisquer contribuições e dúvidas deve ser encaminhadas a contato@antp.org.br</t>
  </si>
  <si>
    <t>Versão 1.1 (Agosto, 2017)</t>
  </si>
  <si>
    <t>Consultar a aba A.III.Combustível</t>
  </si>
  <si>
    <t>ANEXO III – Consumo de combustível</t>
  </si>
  <si>
    <t>De</t>
  </si>
  <si>
    <t>Veículo</t>
  </si>
  <si>
    <t>Micro-ônibus</t>
  </si>
  <si>
    <t xml:space="preserve">*esses valores se referem a veículos operando sem ar-condicionado e sem transmissão automática. </t>
  </si>
  <si>
    <r>
      <rPr>
        <b/>
        <sz val="11"/>
        <rFont val="Calibri"/>
        <family val="2"/>
      </rPr>
      <t>III.</t>
    </r>
    <r>
      <rPr>
        <b/>
        <i/>
        <sz val="11"/>
        <rFont val="Calibri"/>
        <family val="2"/>
      </rPr>
      <t xml:space="preserve">a </t>
    </r>
    <r>
      <rPr>
        <b/>
        <sz val="11"/>
        <rFont val="Calibri"/>
        <family val="2"/>
      </rPr>
      <t>Valores de referência (litros/km)</t>
    </r>
    <r>
      <rPr>
        <b/>
        <sz val="11"/>
        <color indexed="10"/>
        <rFont val="Calibri"/>
        <family val="2"/>
      </rPr>
      <t>*</t>
    </r>
  </si>
  <si>
    <r>
      <rPr>
        <b/>
        <i/>
        <vertAlign val="superscript"/>
        <sz val="12"/>
        <color indexed="9"/>
        <rFont val="Arial"/>
        <family val="2"/>
      </rPr>
      <t>σ</t>
    </r>
    <r>
      <rPr>
        <b/>
        <i/>
        <vertAlign val="subscript"/>
        <sz val="12"/>
        <color indexed="9"/>
        <rFont val="Arial"/>
        <family val="2"/>
      </rPr>
      <t>z</t>
    </r>
    <r>
      <rPr>
        <b/>
        <vertAlign val="superscript"/>
        <sz val="12"/>
        <color indexed="9"/>
        <rFont val="Calibri"/>
        <family val="2"/>
      </rPr>
      <t>[mínimo]</t>
    </r>
  </si>
  <si>
    <r>
      <rPr>
        <b/>
        <i/>
        <vertAlign val="superscript"/>
        <sz val="12"/>
        <color indexed="9"/>
        <rFont val="Arial"/>
        <family val="2"/>
      </rPr>
      <t>σ</t>
    </r>
    <r>
      <rPr>
        <b/>
        <i/>
        <vertAlign val="subscript"/>
        <sz val="12"/>
        <color indexed="9"/>
        <rFont val="Arial"/>
        <family val="2"/>
      </rPr>
      <t>z</t>
    </r>
    <r>
      <rPr>
        <b/>
        <vertAlign val="superscript"/>
        <sz val="12"/>
        <color indexed="9"/>
        <rFont val="Calibri"/>
        <family val="2"/>
      </rPr>
      <t>[máximo]</t>
    </r>
  </si>
  <si>
    <r>
      <t>Faixa etária (</t>
    </r>
    <r>
      <rPr>
        <b/>
        <i/>
        <sz val="12"/>
        <color indexed="9"/>
        <rFont val="Calibri"/>
        <family val="2"/>
      </rPr>
      <t>t</t>
    </r>
    <r>
      <rPr>
        <b/>
        <sz val="12"/>
        <color indexed="9"/>
        <rFont val="Calibri"/>
        <family val="2"/>
      </rPr>
      <t>)</t>
    </r>
  </si>
  <si>
    <t>α [minimo]</t>
  </si>
  <si>
    <t>α [máximo]</t>
  </si>
  <si>
    <t>δ [minimo]</t>
  </si>
  <si>
    <t>δ [máximo]</t>
  </si>
  <si>
    <t>ANEXO XV – MÉTODO DE CÁLCULO DO FATOR DE RISCO</t>
  </si>
  <si>
    <t>são entradas de dados preenchidas com valores de referência, conforme o respectivo anexo do método de cálculo.</t>
  </si>
  <si>
    <t>2. As abas da planilha seguem a numeração dos capitulos desse documento.</t>
  </si>
  <si>
    <t>1. Esta planilha eletrônica segue as definições do documento ¨Custos dos serviços de transporte público por ônibus - Método de Cálculo". ANTP (2017).</t>
  </si>
  <si>
    <r>
      <t>Combustível (</t>
    </r>
    <r>
      <rPr>
        <i/>
        <sz val="10"/>
        <rFont val="Calibri"/>
        <family val="2"/>
      </rPr>
      <t>CMB</t>
    </r>
    <r>
      <rPr>
        <sz val="10"/>
        <rFont val="Calibri"/>
        <family val="2"/>
      </rPr>
      <t>).........................................................................................................................</t>
    </r>
  </si>
  <si>
    <r>
      <t>Lubrificantes (</t>
    </r>
    <r>
      <rPr>
        <i/>
        <sz val="10"/>
        <rFont val="Calibri"/>
        <family val="2"/>
      </rPr>
      <t>CLB</t>
    </r>
    <r>
      <rPr>
        <sz val="10"/>
        <rFont val="Calibri"/>
        <family val="2"/>
      </rPr>
      <t>)......................................................................................................</t>
    </r>
  </si>
  <si>
    <r>
      <t>ARLA 32 (</t>
    </r>
    <r>
      <rPr>
        <i/>
        <sz val="10"/>
        <rFont val="Calibri"/>
        <family val="2"/>
      </rPr>
      <t>CAR</t>
    </r>
    <r>
      <rPr>
        <sz val="10"/>
        <rFont val="Calibri"/>
        <family val="2"/>
      </rPr>
      <t>).............................................................................................</t>
    </r>
  </si>
  <si>
    <r>
      <t>Material de rodagem (</t>
    </r>
    <r>
      <rPr>
        <i/>
        <sz val="10"/>
        <rFont val="Calibri"/>
        <family val="2"/>
      </rPr>
      <t>CRD</t>
    </r>
    <r>
      <rPr>
        <sz val="10"/>
        <rFont val="Calibri"/>
        <family val="2"/>
      </rPr>
      <t>)................................................................................................................................................</t>
    </r>
  </si>
  <si>
    <r>
      <t>Peças e acessórios (</t>
    </r>
    <r>
      <rPr>
        <i/>
        <sz val="10"/>
        <rFont val="Calibri"/>
        <family val="2"/>
      </rPr>
      <t>CPA</t>
    </r>
    <r>
      <rPr>
        <sz val="10"/>
        <rFont val="Calibri"/>
        <family val="2"/>
      </rPr>
      <t>)...............................................................................</t>
    </r>
  </si>
  <si>
    <r>
      <t>Custos ambientais (</t>
    </r>
    <r>
      <rPr>
        <i/>
        <sz val="10"/>
        <rFont val="Calibri"/>
        <family val="2"/>
      </rPr>
      <t>CAB</t>
    </r>
    <r>
      <rPr>
        <sz val="10"/>
        <rFont val="Calibri"/>
        <family val="2"/>
      </rPr>
      <t>)......................................................................................</t>
    </r>
  </si>
  <si>
    <r>
      <t>Manutenção, administrativo e diretoria (</t>
    </r>
    <r>
      <rPr>
        <i/>
        <sz val="10"/>
        <rFont val="Calibri"/>
        <family val="2"/>
      </rPr>
      <t>DMA</t>
    </r>
    <r>
      <rPr>
        <sz val="10"/>
        <rFont val="Calibri"/>
        <family val="2"/>
      </rPr>
      <t>)...............................................................</t>
    </r>
  </si>
  <si>
    <r>
      <t>Despesas gerais (</t>
    </r>
    <r>
      <rPr>
        <i/>
        <sz val="10"/>
        <rFont val="Calibri"/>
        <family val="2"/>
      </rPr>
      <t>CDG</t>
    </r>
    <r>
      <rPr>
        <sz val="10"/>
        <rFont val="Calibri"/>
        <family val="2"/>
      </rPr>
      <t>).....................................................................................................</t>
    </r>
  </si>
  <si>
    <r>
      <t>DPVAT e licenciamento (</t>
    </r>
    <r>
      <rPr>
        <i/>
        <sz val="10"/>
        <rFont val="Calibri"/>
        <family val="2"/>
      </rPr>
      <t>CDS</t>
    </r>
    <r>
      <rPr>
        <sz val="10"/>
        <rFont val="Calibri"/>
        <family val="2"/>
      </rPr>
      <t>)..........................................................................................................................</t>
    </r>
  </si>
  <si>
    <r>
      <t>Seguros (</t>
    </r>
    <r>
      <rPr>
        <i/>
        <sz val="10"/>
        <rFont val="Calibri"/>
        <family val="2"/>
      </rPr>
      <t>CRD</t>
    </r>
    <r>
      <rPr>
        <sz val="10"/>
        <rFont val="Calibri"/>
        <family val="2"/>
      </rPr>
      <t>)..........................................................................................................</t>
    </r>
  </si>
  <si>
    <r>
      <t>Outras despesas operacionais (</t>
    </r>
    <r>
      <rPr>
        <i/>
        <sz val="10"/>
        <rFont val="Calibri"/>
        <family val="2"/>
      </rPr>
      <t>CCM</t>
    </r>
    <r>
      <rPr>
        <sz val="10"/>
        <rFont val="Calibri"/>
        <family val="2"/>
      </rPr>
      <t>).........................................................................................</t>
    </r>
  </si>
  <si>
    <r>
      <t>Veículos da frota (</t>
    </r>
    <r>
      <rPr>
        <i/>
        <sz val="10"/>
        <rFont val="Calibri"/>
        <family val="2"/>
      </rPr>
      <t>DVE</t>
    </r>
    <r>
      <rPr>
        <sz val="10"/>
        <rFont val="Calibri"/>
        <family val="2"/>
      </rPr>
      <t>)..............................................................................................</t>
    </r>
  </si>
  <si>
    <r>
      <t>Edificações e equipamentos de garagem (</t>
    </r>
    <r>
      <rPr>
        <i/>
        <sz val="10"/>
        <rFont val="Calibri"/>
        <family val="2"/>
      </rPr>
      <t>DED</t>
    </r>
    <r>
      <rPr>
        <sz val="10"/>
        <rFont val="Calibri"/>
        <family val="2"/>
      </rPr>
      <t>)..........................................................................................................</t>
    </r>
  </si>
  <si>
    <r>
      <t>Equipamentos de bilhetagem e ITS (</t>
    </r>
    <r>
      <rPr>
        <i/>
        <sz val="10"/>
        <rFont val="Calibri"/>
        <family val="2"/>
      </rPr>
      <t>DEQ</t>
    </r>
    <r>
      <rPr>
        <sz val="10"/>
        <rFont val="Calibri"/>
        <family val="2"/>
      </rPr>
      <t>).....................................................................................</t>
    </r>
  </si>
  <si>
    <r>
      <t>Veículos de apoio (</t>
    </r>
    <r>
      <rPr>
        <i/>
        <sz val="10"/>
        <rFont val="Calibri"/>
        <family val="2"/>
      </rPr>
      <t>DVA</t>
    </r>
    <r>
      <rPr>
        <sz val="10"/>
        <rFont val="Calibri"/>
        <family val="2"/>
      </rPr>
      <t>).....................................................................................................</t>
    </r>
  </si>
  <si>
    <r>
      <t>Infraestrutura (</t>
    </r>
    <r>
      <rPr>
        <i/>
        <sz val="10"/>
        <rFont val="Calibri"/>
        <family val="2"/>
      </rPr>
      <t>DIN</t>
    </r>
    <r>
      <rPr>
        <sz val="10"/>
        <rFont val="Calibri"/>
        <family val="2"/>
      </rPr>
      <t>).........................................................................................</t>
    </r>
  </si>
  <si>
    <r>
      <t>Veículos da frota (</t>
    </r>
    <r>
      <rPr>
        <i/>
        <sz val="10"/>
        <rFont val="Calibri"/>
        <family val="2"/>
      </rPr>
      <t>RVE</t>
    </r>
    <r>
      <rPr>
        <sz val="10"/>
        <rFont val="Calibri"/>
        <family val="2"/>
      </rPr>
      <t>).......................................................................................................</t>
    </r>
  </si>
  <si>
    <r>
      <t>Terrenos, edificações e equipamentos de garagem (</t>
    </r>
    <r>
      <rPr>
        <i/>
        <sz val="10"/>
        <rFont val="Calibri"/>
        <family val="2"/>
      </rPr>
      <t>RTE</t>
    </r>
    <r>
      <rPr>
        <sz val="10"/>
        <rFont val="Calibri"/>
        <family val="2"/>
      </rPr>
      <t>)...............................................................................................................</t>
    </r>
  </si>
  <si>
    <r>
      <t>Almoxarifado (</t>
    </r>
    <r>
      <rPr>
        <i/>
        <sz val="10"/>
        <rFont val="Calibri"/>
        <family val="2"/>
      </rPr>
      <t>RAL</t>
    </r>
    <r>
      <rPr>
        <sz val="10"/>
        <rFont val="Calibri"/>
        <family val="2"/>
      </rPr>
      <t>).............................................................................................</t>
    </r>
  </si>
  <si>
    <r>
      <t>Equipamentos de bilhetagem e ITS (</t>
    </r>
    <r>
      <rPr>
        <i/>
        <sz val="10"/>
        <rFont val="Calibri"/>
        <family val="2"/>
      </rPr>
      <t>REQ</t>
    </r>
    <r>
      <rPr>
        <sz val="10"/>
        <rFont val="Calibri"/>
        <family val="2"/>
      </rPr>
      <t>)....................................................................................</t>
    </r>
  </si>
  <si>
    <r>
      <t>Veículos de apoio (</t>
    </r>
    <r>
      <rPr>
        <i/>
        <sz val="10"/>
        <rFont val="Calibri"/>
        <family val="2"/>
      </rPr>
      <t>RVA</t>
    </r>
    <r>
      <rPr>
        <sz val="10"/>
        <rFont val="Calibri"/>
        <family val="2"/>
      </rPr>
      <t>)................................................................................................</t>
    </r>
  </si>
  <si>
    <r>
      <t>Infraestrutura (</t>
    </r>
    <r>
      <rPr>
        <i/>
        <sz val="10"/>
        <rFont val="Calibri"/>
        <family val="2"/>
      </rPr>
      <t>RIN</t>
    </r>
    <r>
      <rPr>
        <sz val="10"/>
        <rFont val="Calibri"/>
        <family val="2"/>
      </rPr>
      <t>)................................................................................................</t>
    </r>
  </si>
  <si>
    <r>
      <t>Locação dos equipamentos e sistemas de bilhetagem e ITS (</t>
    </r>
    <r>
      <rPr>
        <i/>
        <sz val="10"/>
        <rFont val="Calibri"/>
        <family val="2"/>
      </rPr>
      <t>CLQ</t>
    </r>
    <r>
      <rPr>
        <sz val="10"/>
        <rFont val="Calibri"/>
        <family val="2"/>
      </rPr>
      <t>).............................................................</t>
    </r>
  </si>
  <si>
    <r>
      <t>Locação de garagem (</t>
    </r>
    <r>
      <rPr>
        <i/>
        <sz val="10"/>
        <rFont val="Calibri"/>
        <family val="2"/>
      </rPr>
      <t>CLG</t>
    </r>
    <r>
      <rPr>
        <sz val="10"/>
        <rFont val="Calibri"/>
        <family val="2"/>
      </rPr>
      <t>).......................................................................................................................</t>
    </r>
  </si>
  <si>
    <r>
      <t>Locação de veículos de Apoio (</t>
    </r>
    <r>
      <rPr>
        <i/>
        <sz val="10"/>
        <rFont val="Calibri"/>
        <family val="2"/>
      </rPr>
      <t>CLA</t>
    </r>
    <r>
      <rPr>
        <sz val="10"/>
        <rFont val="Calibri"/>
        <family val="2"/>
      </rPr>
      <t>)............................................................................</t>
    </r>
  </si>
  <si>
    <t>4.1</t>
  </si>
  <si>
    <t>Custo por Passageiro Transportado</t>
  </si>
  <si>
    <t>Passageiros transportados</t>
  </si>
  <si>
    <t>% Custo Total</t>
  </si>
  <si>
    <r>
      <t xml:space="preserve">¹ Deve-se preencher todas as celulas abaixo. Se não houver investimentos em determinados itens ou taxas e tributos, por exemplo, </t>
    </r>
    <r>
      <rPr>
        <b/>
        <i/>
        <sz val="10"/>
        <color indexed="10"/>
        <rFont val="Arial"/>
        <family val="2"/>
      </rPr>
      <t>preenche-se com o valor zero</t>
    </r>
    <r>
      <rPr>
        <i/>
        <sz val="10"/>
        <color indexed="10"/>
        <rFont val="Arial"/>
        <family val="2"/>
      </rPr>
      <t xml:space="preserve">. Caso a celula não seja preenchida com alguma valor adotar-se-á os valores de referência para o respectivo item </t>
    </r>
  </si>
  <si>
    <t>XII.b</t>
  </si>
  <si>
    <r>
      <t>Fatores anuais de depreciação de veículos (λ</t>
    </r>
    <r>
      <rPr>
        <b/>
        <i/>
        <sz val="8"/>
        <rFont val="Calibri"/>
        <family val="2"/>
      </rPr>
      <t>z</t>
    </r>
    <r>
      <rPr>
        <b/>
        <i/>
        <sz val="11"/>
        <rFont val="Calibri"/>
        <family val="2"/>
      </rPr>
      <t>^[t])</t>
    </r>
  </si>
  <si>
    <t>Tabela de referência para o cálculo do Fator de Utilização de motoristas e cobradores</t>
  </si>
  <si>
    <t>Tabela de referência para o cálculo do Fator de Utilização Física de motoristas e cobradores</t>
  </si>
  <si>
    <t>Instruções Complementares - EDITAL xx/xxxx</t>
  </si>
  <si>
    <t>1. O Edital xx/xxxx busca selecionar a empresa com melhor eficiência e menor custo por quilômetro.</t>
  </si>
  <si>
    <t>5. Os campos com retângulos laranja deverão ser preenchidos pela concessionária para apresentação de proposta, junto com o preenchimento da proposta</t>
  </si>
  <si>
    <t>Despesas Gerais com base no VEC</t>
  </si>
  <si>
    <t>Valores de referência para apuração do valor de Despesas Gerais</t>
  </si>
  <si>
    <t>Coeficiente de Despesas Gerais</t>
  </si>
  <si>
    <t>Frota Total</t>
  </si>
  <si>
    <t>Custo Despesas Gerais (anual)</t>
  </si>
  <si>
    <t>Coef Mín</t>
  </si>
  <si>
    <t>Coef Máx</t>
  </si>
  <si>
    <t>A.XVII</t>
  </si>
  <si>
    <t>A.XVII.a</t>
  </si>
  <si>
    <r>
      <t xml:space="preserve">6. Os campos em vermelho, são parâmetros para cálculo como dados operacioanais e custos dos insumos, e </t>
    </r>
    <r>
      <rPr>
        <b/>
        <sz val="10"/>
        <rFont val="Calibri"/>
        <family val="2"/>
        <scheme val="minor"/>
      </rPr>
      <t>NÃO DEVEM</t>
    </r>
    <r>
      <rPr>
        <sz val="10"/>
        <rFont val="Calibri"/>
        <family val="2"/>
        <scheme val="minor"/>
      </rPr>
      <t xml:space="preserve"> ser alterados.</t>
    </r>
  </si>
  <si>
    <t>4. Os custos operacionais e suas fontes, são informados pela prefeitura, conforme ANEXO II do ETP.</t>
  </si>
  <si>
    <t>3. Os dados operacionais são dados pela planilha de serviços, conforme ANEXO II do ETP.</t>
  </si>
  <si>
    <t>2. É permitido às empresas, alterar os coeficientes de consumo, conforme limites mínimos e máximos informados nos ANEXOS I e IV do ETP.</t>
  </si>
  <si>
    <t>conforme Apêndice 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</si>
</sst>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8">
    <numFmt numFmtId="5" formatCode="&quot;R$&quot;\ #,##0;\-&quot;R$&quot;\ #,##0"/>
    <numFmt numFmtId="7" formatCode="&quot;R$&quot;\ #,##0.00;\-&quot;R$&quot;\ #,##0.00"/>
    <numFmt numFmtId="44" formatCode="_-&quot;R$&quot;\ * #,##0.00_-;\-&quot;R$&quot;\ * #,##0.00_-;_-&quot;R$&quot;\ * &quot;-&quot;??_-;_-@_-"/>
    <numFmt numFmtId="43" formatCode="_-* #,##0.00_-;\-* #,##0.00_-;_-* &quot;-&quot;??_-;_-@_-"/>
    <numFmt numFmtId="164" formatCode="_(* #,##0.00_);_(* \(#,##0.00\);_(* &quot;-&quot;??_);_(@_)"/>
    <numFmt numFmtId="165" formatCode="_(&quot;R$&quot;* #,##0.00_);_(&quot;R$&quot;* \(#,##0.00\);_(&quot;R$&quot;* &quot;-&quot;??_);_(@_)"/>
    <numFmt numFmtId="166" formatCode="_-* #,##0_-;\-* #,##0_-;_-* &quot;-&quot;??_-;_-@_-"/>
    <numFmt numFmtId="167" formatCode="#,##0_ ;\-#,##0\ "/>
    <numFmt numFmtId="168" formatCode="#,##0.00000"/>
    <numFmt numFmtId="169" formatCode="#,##0.00_ ;\-#,##0.00\ "/>
    <numFmt numFmtId="170" formatCode="#,##0.00000_ ;\-#,##0.00000\ "/>
    <numFmt numFmtId="171" formatCode="_-* #,##0.000_-;\-* #,##0.000_-;_-* &quot;-&quot;??_-;_-@_-"/>
    <numFmt numFmtId="172" formatCode="_-* #,##0.0000_-;\-* #,##0.0000_-;_-* &quot;-&quot;??_-;_-@_-"/>
    <numFmt numFmtId="173" formatCode="_-* #,##0.00000_-;\-* #,##0.00000_-;_-* &quot;-&quot;??_-;_-@_-"/>
    <numFmt numFmtId="174" formatCode="_-* #,##0.000000_-;\-* #,##0.000000_-;_-* &quot;-&quot;??_-;_-@_-"/>
    <numFmt numFmtId="175" formatCode="#,##0.000000_ ;\-#,##0.000000\ "/>
    <numFmt numFmtId="176" formatCode="0.0%"/>
    <numFmt numFmtId="177" formatCode="0.000"/>
    <numFmt numFmtId="178" formatCode="0.0000000000"/>
    <numFmt numFmtId="179" formatCode="0.00000"/>
    <numFmt numFmtId="180" formatCode="#,##0.00000000_ ;\-#,##0.00000000\ "/>
    <numFmt numFmtId="181" formatCode="#,##0.000"/>
    <numFmt numFmtId="182" formatCode="#,##0.0000"/>
    <numFmt numFmtId="183" formatCode="#,##0.0"/>
    <numFmt numFmtId="184" formatCode="h:mm;@"/>
    <numFmt numFmtId="185" formatCode="_(&quot;R$ &quot;* #,##0.00_);_(&quot;R$ &quot;* \(#,##0.00\);_(&quot;R$ &quot;* &quot;-&quot;??_);_(@_)"/>
    <numFmt numFmtId="186" formatCode="#,##0.0000;\-#,##0.0000"/>
    <numFmt numFmtId="187" formatCode="#,##0.00000;\-#,##0.00000"/>
  </numFmts>
  <fonts count="99" x14ac:knownFonts="1">
    <font>
      <sz val="10"/>
      <name val="Arial"/>
    </font>
    <font>
      <sz val="10"/>
      <name val="Arial"/>
      <family val="2"/>
    </font>
    <font>
      <sz val="10"/>
      <name val="Arial"/>
      <family val="2"/>
    </font>
    <font>
      <i/>
      <sz val="10"/>
      <name val="Arial"/>
      <family val="2"/>
    </font>
    <font>
      <b/>
      <i/>
      <sz val="10"/>
      <name val="Arial"/>
      <family val="2"/>
    </font>
    <font>
      <b/>
      <vertAlign val="subscript"/>
      <sz val="11"/>
      <color indexed="8"/>
      <name val="Calibri"/>
      <family val="2"/>
    </font>
    <font>
      <b/>
      <i/>
      <sz val="11"/>
      <name val="Calibri"/>
      <family val="2"/>
    </font>
    <font>
      <b/>
      <i/>
      <sz val="10"/>
      <color indexed="9"/>
      <name val="Calibri"/>
      <family val="2"/>
    </font>
    <font>
      <b/>
      <sz val="10"/>
      <color indexed="9"/>
      <name val="Calibri"/>
      <family val="2"/>
    </font>
    <font>
      <b/>
      <sz val="11"/>
      <name val="Calibri"/>
      <family val="2"/>
    </font>
    <font>
      <sz val="10"/>
      <name val="Arial"/>
      <family val="2"/>
    </font>
    <font>
      <i/>
      <sz val="8"/>
      <color indexed="8"/>
      <name val="Calibri"/>
      <family val="2"/>
    </font>
    <font>
      <b/>
      <sz val="11"/>
      <color indexed="9"/>
      <name val="Calibri"/>
      <family val="2"/>
    </font>
    <font>
      <b/>
      <sz val="9"/>
      <color indexed="9"/>
      <name val="Calibri"/>
      <family val="2"/>
    </font>
    <font>
      <b/>
      <sz val="8"/>
      <color indexed="9"/>
      <name val="Calibri"/>
      <family val="2"/>
    </font>
    <font>
      <b/>
      <i/>
      <sz val="8"/>
      <name val="Calibri"/>
      <family val="2"/>
    </font>
    <font>
      <i/>
      <sz val="8"/>
      <name val="Arial"/>
      <family val="2"/>
    </font>
    <font>
      <b/>
      <sz val="10"/>
      <name val="Arial"/>
      <family val="2"/>
    </font>
    <font>
      <b/>
      <sz val="12"/>
      <color indexed="9"/>
      <name val="Calibri"/>
      <family val="2"/>
    </font>
    <font>
      <b/>
      <i/>
      <sz val="12"/>
      <color indexed="9"/>
      <name val="Times New Roman"/>
      <family val="1"/>
    </font>
    <font>
      <sz val="10"/>
      <name val="Arial"/>
      <family val="2"/>
    </font>
    <font>
      <b/>
      <sz val="8"/>
      <name val="Arial"/>
      <family val="2"/>
    </font>
    <font>
      <b/>
      <sz val="12"/>
      <name val="Arial"/>
      <family val="2"/>
    </font>
    <font>
      <sz val="7"/>
      <name val="Arial"/>
      <family val="2"/>
    </font>
    <font>
      <sz val="10"/>
      <name val="Arial"/>
      <family val="2"/>
    </font>
    <font>
      <u/>
      <sz val="10"/>
      <color indexed="12"/>
      <name val="Arial"/>
      <family val="2"/>
    </font>
    <font>
      <sz val="10"/>
      <name val="Arial"/>
      <family val="2"/>
    </font>
    <font>
      <b/>
      <i/>
      <sz val="11"/>
      <color indexed="9"/>
      <name val="Calibri"/>
      <family val="2"/>
    </font>
    <font>
      <b/>
      <i/>
      <vertAlign val="subscript"/>
      <sz val="11"/>
      <color indexed="8"/>
      <name val="Calibri"/>
      <family val="2"/>
    </font>
    <font>
      <i/>
      <sz val="11"/>
      <name val="Calibri"/>
      <family val="2"/>
    </font>
    <font>
      <sz val="12"/>
      <name val="Calibri"/>
      <family val="2"/>
    </font>
    <font>
      <b/>
      <i/>
      <sz val="11"/>
      <color indexed="8"/>
      <name val="Calibri"/>
      <family val="2"/>
    </font>
    <font>
      <b/>
      <i/>
      <sz val="10"/>
      <name val="Calibri"/>
      <family val="2"/>
    </font>
    <font>
      <b/>
      <sz val="10"/>
      <name val="Calibri"/>
      <family val="2"/>
    </font>
    <font>
      <i/>
      <sz val="10"/>
      <color indexed="10"/>
      <name val="Arial"/>
      <family val="2"/>
    </font>
    <font>
      <b/>
      <i/>
      <sz val="10"/>
      <color indexed="10"/>
      <name val="Arial"/>
      <family val="2"/>
    </font>
    <font>
      <b/>
      <sz val="10"/>
      <color indexed="8"/>
      <name val="Calibri"/>
      <family val="2"/>
    </font>
    <font>
      <b/>
      <i/>
      <sz val="12"/>
      <color indexed="9"/>
      <name val="Calibri"/>
      <family val="2"/>
    </font>
    <font>
      <sz val="10"/>
      <name val="Calibri"/>
      <family val="2"/>
    </font>
    <font>
      <sz val="12"/>
      <name val="Arial"/>
      <family val="2"/>
    </font>
    <font>
      <b/>
      <i/>
      <vertAlign val="superscript"/>
      <sz val="12"/>
      <color indexed="9"/>
      <name val="Arial"/>
      <family val="2"/>
    </font>
    <font>
      <b/>
      <i/>
      <vertAlign val="subscript"/>
      <sz val="12"/>
      <color indexed="9"/>
      <name val="Arial"/>
      <family val="2"/>
    </font>
    <font>
      <b/>
      <sz val="11"/>
      <color indexed="10"/>
      <name val="Calibri"/>
      <family val="2"/>
    </font>
    <font>
      <b/>
      <vertAlign val="superscript"/>
      <sz val="12"/>
      <color indexed="9"/>
      <name val="Calibri"/>
      <family val="2"/>
    </font>
    <font>
      <i/>
      <sz val="10"/>
      <name val="Calibri"/>
      <family val="2"/>
    </font>
    <font>
      <sz val="10"/>
      <name val="Arial"/>
      <family val="2"/>
    </font>
    <font>
      <sz val="11"/>
      <color theme="1"/>
      <name val="Calibri"/>
      <family val="2"/>
      <scheme val="minor"/>
    </font>
    <font>
      <sz val="11"/>
      <color theme="0"/>
      <name val="Calibri"/>
      <family val="2"/>
      <scheme val="minor"/>
    </font>
    <font>
      <b/>
      <sz val="11"/>
      <color theme="0"/>
      <name val="Calibri"/>
      <family val="2"/>
      <scheme val="minor"/>
    </font>
    <font>
      <b/>
      <sz val="11"/>
      <color theme="1"/>
      <name val="Calibri"/>
      <family val="2"/>
      <scheme val="minor"/>
    </font>
    <font>
      <sz val="10"/>
      <name val="Calibri"/>
      <family val="2"/>
      <scheme val="minor"/>
    </font>
    <font>
      <sz val="11"/>
      <name val="Calibri"/>
      <family val="2"/>
      <scheme val="minor"/>
    </font>
    <font>
      <b/>
      <sz val="11"/>
      <name val="Calibri"/>
      <family val="2"/>
      <scheme val="minor"/>
    </font>
    <font>
      <b/>
      <i/>
      <sz val="11"/>
      <name val="Calibri"/>
      <family val="2"/>
      <scheme val="minor"/>
    </font>
    <font>
      <i/>
      <sz val="11"/>
      <name val="Calibri"/>
      <family val="2"/>
      <scheme val="minor"/>
    </font>
    <font>
      <sz val="12"/>
      <name val="Calibri"/>
      <family val="2"/>
      <scheme val="minor"/>
    </font>
    <font>
      <b/>
      <sz val="12"/>
      <color theme="0"/>
      <name val="Calibri"/>
      <family val="2"/>
      <scheme val="minor"/>
    </font>
    <font>
      <b/>
      <sz val="9"/>
      <color rgb="FF000000"/>
      <name val="Calibri"/>
      <family val="2"/>
      <scheme val="minor"/>
    </font>
    <font>
      <sz val="9"/>
      <color rgb="FF000000"/>
      <name val="Calibri"/>
      <family val="2"/>
      <scheme val="minor"/>
    </font>
    <font>
      <i/>
      <sz val="10"/>
      <color rgb="FFFF0000"/>
      <name val="Arial"/>
      <family val="2"/>
    </font>
    <font>
      <sz val="10"/>
      <color theme="0"/>
      <name val="Arial"/>
      <family val="2"/>
    </font>
    <font>
      <b/>
      <sz val="12"/>
      <name val="Calibri"/>
      <family val="2"/>
      <scheme val="minor"/>
    </font>
    <font>
      <b/>
      <i/>
      <sz val="11"/>
      <color theme="1"/>
      <name val="Calibri"/>
      <family val="2"/>
      <scheme val="minor"/>
    </font>
    <font>
      <b/>
      <i/>
      <sz val="11"/>
      <color theme="0"/>
      <name val="Calibri"/>
      <family val="2"/>
      <scheme val="minor"/>
    </font>
    <font>
      <b/>
      <sz val="18"/>
      <name val="Calibri"/>
      <family val="2"/>
      <scheme val="minor"/>
    </font>
    <font>
      <b/>
      <i/>
      <sz val="10"/>
      <name val="Calibri"/>
      <family val="2"/>
      <scheme val="minor"/>
    </font>
    <font>
      <b/>
      <sz val="10"/>
      <color theme="0"/>
      <name val="Calibri"/>
      <family val="2"/>
      <scheme val="minor"/>
    </font>
    <font>
      <i/>
      <sz val="11"/>
      <color theme="1"/>
      <name val="Calibri"/>
      <family val="2"/>
      <scheme val="minor"/>
    </font>
    <font>
      <b/>
      <i/>
      <sz val="16"/>
      <color theme="0"/>
      <name val="Calibri"/>
      <family val="2"/>
      <scheme val="minor"/>
    </font>
    <font>
      <b/>
      <i/>
      <sz val="16"/>
      <name val="Calibri"/>
      <family val="2"/>
      <scheme val="minor"/>
    </font>
    <font>
      <b/>
      <sz val="16"/>
      <name val="Calibri"/>
      <family val="2"/>
      <scheme val="minor"/>
    </font>
    <font>
      <b/>
      <sz val="16"/>
      <color theme="1"/>
      <name val="Calibri"/>
      <family val="2"/>
      <scheme val="minor"/>
    </font>
    <font>
      <sz val="10"/>
      <color rgb="FFFF0000"/>
      <name val="Arial"/>
      <family val="2"/>
    </font>
    <font>
      <b/>
      <sz val="10"/>
      <color rgb="FFFF0000"/>
      <name val="Arial"/>
      <family val="2"/>
    </font>
    <font>
      <b/>
      <sz val="10"/>
      <color theme="0"/>
      <name val="Arial"/>
      <family val="2"/>
    </font>
    <font>
      <b/>
      <sz val="10"/>
      <name val="Calibri"/>
      <family val="2"/>
      <scheme val="minor"/>
    </font>
    <font>
      <sz val="10"/>
      <color theme="0"/>
      <name val="Calibri"/>
      <family val="2"/>
      <scheme val="minor"/>
    </font>
    <font>
      <b/>
      <vertAlign val="superscript"/>
      <sz val="12"/>
      <color theme="0"/>
      <name val="Arial"/>
      <family val="2"/>
    </font>
    <font>
      <sz val="10"/>
      <color rgb="FFFF0000"/>
      <name val="Calibri"/>
      <family val="2"/>
      <scheme val="minor"/>
    </font>
    <font>
      <b/>
      <i/>
      <sz val="12"/>
      <color theme="0"/>
      <name val="Calibri"/>
      <family val="2"/>
      <scheme val="minor"/>
    </font>
    <font>
      <b/>
      <sz val="12"/>
      <color theme="0"/>
      <name val="Calibri"/>
      <family val="2"/>
    </font>
    <font>
      <b/>
      <i/>
      <sz val="12"/>
      <color theme="0"/>
      <name val="Symbol"/>
      <family val="1"/>
      <charset val="2"/>
    </font>
    <font>
      <b/>
      <sz val="12"/>
      <color theme="1"/>
      <name val="Calibri"/>
      <family val="2"/>
      <scheme val="minor"/>
    </font>
    <font>
      <b/>
      <i/>
      <sz val="12"/>
      <color theme="0"/>
      <name val="Times New Roman"/>
      <family val="1"/>
    </font>
    <font>
      <b/>
      <sz val="12"/>
      <color theme="0"/>
      <name val="Times New Roman"/>
      <family val="1"/>
    </font>
    <font>
      <sz val="10"/>
      <color theme="1"/>
      <name val="Arial"/>
      <family val="2"/>
    </font>
    <font>
      <sz val="9"/>
      <color theme="0"/>
      <name val="Calibri"/>
      <family val="2"/>
      <scheme val="minor"/>
    </font>
    <font>
      <b/>
      <sz val="10"/>
      <color rgb="FF000000"/>
      <name val="Calibri"/>
      <family val="2"/>
      <scheme val="minor"/>
    </font>
    <font>
      <sz val="10"/>
      <color rgb="FF000000"/>
      <name val="Calibri"/>
      <family val="2"/>
      <scheme val="minor"/>
    </font>
    <font>
      <sz val="10"/>
      <color rgb="FF000000"/>
      <name val="Calibri"/>
      <family val="2"/>
    </font>
    <font>
      <b/>
      <sz val="16"/>
      <color theme="0"/>
      <name val="Calibri"/>
      <family val="2"/>
      <scheme val="minor"/>
    </font>
    <font>
      <b/>
      <i/>
      <sz val="12"/>
      <color rgb="FFFFFFFF"/>
      <name val="Calibri"/>
      <family val="2"/>
      <scheme val="minor"/>
    </font>
    <font>
      <b/>
      <sz val="12"/>
      <color rgb="FFFFFFFF"/>
      <name val="Calibri"/>
      <family val="2"/>
      <scheme val="minor"/>
    </font>
    <font>
      <b/>
      <sz val="9"/>
      <color theme="0"/>
      <name val="Calibri"/>
      <family val="2"/>
      <scheme val="minor"/>
    </font>
    <font>
      <b/>
      <sz val="12"/>
      <color indexed="9"/>
      <name val="Calibri"/>
      <family val="2"/>
      <scheme val="minor"/>
    </font>
    <font>
      <b/>
      <sz val="14"/>
      <color theme="0"/>
      <name val="Calibri"/>
      <family val="2"/>
      <scheme val="minor"/>
    </font>
    <font>
      <sz val="12"/>
      <color theme="1"/>
      <name val="Calibri"/>
      <family val="2"/>
      <scheme val="minor"/>
    </font>
    <font>
      <i/>
      <sz val="10"/>
      <name val="Calibri"/>
      <family val="2"/>
      <scheme val="minor"/>
    </font>
    <font>
      <b/>
      <sz val="10"/>
      <color rgb="FFFF0000"/>
      <name val="Calibri"/>
      <family val="2"/>
      <scheme val="minor"/>
    </font>
  </fonts>
  <fills count="27">
    <fill>
      <patternFill patternType="none"/>
    </fill>
    <fill>
      <patternFill patternType="gray125"/>
    </fill>
    <fill>
      <patternFill patternType="solid">
        <fgColor theme="9" tint="0.79998168889431442"/>
        <bgColor indexed="64"/>
      </patternFill>
    </fill>
    <fill>
      <patternFill patternType="solid">
        <fgColor theme="6" tint="0.59999389629810485"/>
        <bgColor indexed="64"/>
      </patternFill>
    </fill>
    <fill>
      <patternFill patternType="solid">
        <fgColor theme="4" tint="0.39997558519241921"/>
        <bgColor indexed="64"/>
      </patternFill>
    </fill>
    <fill>
      <patternFill patternType="solid">
        <fgColor theme="6" tint="-0.499984740745262"/>
        <bgColor indexed="64"/>
      </patternFill>
    </fill>
    <fill>
      <patternFill patternType="solid">
        <fgColor rgb="FFC0C0C0"/>
        <bgColor indexed="64"/>
      </patternFill>
    </fill>
    <fill>
      <patternFill patternType="solid">
        <fgColor theme="6" tint="0.39997558519241921"/>
        <bgColor indexed="64"/>
      </patternFill>
    </fill>
    <fill>
      <patternFill patternType="solid">
        <fgColor theme="4" tint="0.59999389629810485"/>
        <bgColor indexed="64"/>
      </patternFill>
    </fill>
    <fill>
      <patternFill patternType="solid">
        <fgColor theme="0"/>
        <bgColor indexed="64"/>
      </patternFill>
    </fill>
    <fill>
      <patternFill patternType="solid">
        <fgColor theme="9" tint="0.39997558519241921"/>
        <bgColor indexed="64"/>
      </patternFill>
    </fill>
    <fill>
      <patternFill patternType="solid">
        <fgColor theme="4" tint="-0.499984740745262"/>
        <bgColor indexed="64"/>
      </patternFill>
    </fill>
    <fill>
      <patternFill patternType="solid">
        <fgColor theme="9" tint="-0.249977111117893"/>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theme="1"/>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4"/>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rgb="FF002060"/>
        <bgColor indexed="64"/>
      </patternFill>
    </fill>
    <fill>
      <patternFill patternType="solid">
        <fgColor theme="6" tint="-0.249977111117893"/>
        <bgColor indexed="64"/>
      </patternFill>
    </fill>
    <fill>
      <patternFill patternType="solid">
        <fgColor theme="8" tint="0.79998168889431442"/>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s>
  <cellStyleXfs count="78">
    <xf numFmtId="0" fontId="0" fillId="0" borderId="0"/>
    <xf numFmtId="0" fontId="25" fillId="0" borderId="0" applyNumberFormat="0" applyFill="0" applyBorder="0" applyAlignment="0" applyProtection="0">
      <alignment vertical="top"/>
      <protection locked="0"/>
    </xf>
    <xf numFmtId="165" fontId="1" fillId="0" borderId="0" applyFont="0" applyFill="0" applyBorder="0" applyAlignment="0" applyProtection="0"/>
    <xf numFmtId="165" fontId="2"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65" fontId="2" fillId="0" borderId="0" applyFont="0" applyFill="0" applyBorder="0" applyAlignment="0" applyProtection="0"/>
    <xf numFmtId="165" fontId="24" fillId="0" borderId="0" applyFont="0" applyFill="0" applyBorder="0" applyAlignment="0" applyProtection="0"/>
    <xf numFmtId="165" fontId="2" fillId="0" borderId="0" applyFont="0" applyFill="0" applyBorder="0" applyAlignment="0" applyProtection="0"/>
    <xf numFmtId="165" fontId="26"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46" fillId="0" borderId="0"/>
    <xf numFmtId="0" fontId="10" fillId="0" borderId="0"/>
    <xf numFmtId="0" fontId="2" fillId="0" borderId="0"/>
    <xf numFmtId="0" fontId="2" fillId="0" borderId="0"/>
    <xf numFmtId="0" fontId="2" fillId="0" borderId="0"/>
    <xf numFmtId="0" fontId="46" fillId="0" borderId="0"/>
    <xf numFmtId="0" fontId="2" fillId="0" borderId="0"/>
    <xf numFmtId="0" fontId="46" fillId="0" borderId="0"/>
    <xf numFmtId="0" fontId="46" fillId="0" borderId="0"/>
    <xf numFmtId="0" fontId="2" fillId="0" borderId="0"/>
    <xf numFmtId="0" fontId="46" fillId="0" borderId="0"/>
    <xf numFmtId="0" fontId="46" fillId="0" borderId="0"/>
    <xf numFmtId="0" fontId="2" fillId="0" borderId="0"/>
    <xf numFmtId="0" fontId="46" fillId="0" borderId="0"/>
    <xf numFmtId="9" fontId="1" fillId="0" borderId="0" applyFont="0" applyFill="0" applyBorder="0" applyAlignment="0" applyProtection="0"/>
    <xf numFmtId="9" fontId="2" fillId="0" borderId="0" applyFont="0" applyFill="0" applyBorder="0" applyAlignment="0" applyProtection="0"/>
    <xf numFmtId="9" fontId="4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6" fillId="0" borderId="0" applyFont="0" applyFill="0" applyBorder="0" applyAlignment="0" applyProtection="0"/>
    <xf numFmtId="9" fontId="2"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43" fontId="46"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3" fontId="46"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0"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4" fillId="0" borderId="0" applyFont="0" applyFill="0" applyBorder="0" applyAlignment="0" applyProtection="0"/>
    <xf numFmtId="164" fontId="2" fillId="0" borderId="0" applyFont="0" applyFill="0" applyBorder="0" applyAlignment="0" applyProtection="0"/>
    <xf numFmtId="164" fontId="26"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cellStyleXfs>
  <cellXfs count="901">
    <xf numFmtId="0" fontId="0" fillId="0" borderId="0" xfId="0"/>
    <xf numFmtId="166" fontId="46" fillId="2" borderId="1" xfId="16" applyNumberFormat="1" applyFill="1" applyBorder="1" applyAlignment="1">
      <alignment horizontal="center" vertical="center"/>
    </xf>
    <xf numFmtId="39" fontId="46" fillId="3" borderId="1" xfId="56" applyNumberFormat="1" applyFont="1" applyFill="1" applyBorder="1" applyAlignment="1">
      <alignment horizontal="center" vertical="center"/>
    </xf>
    <xf numFmtId="0" fontId="50" fillId="0" borderId="0" xfId="0" applyFont="1"/>
    <xf numFmtId="0" fontId="51" fillId="0" borderId="0" xfId="0" applyFont="1"/>
    <xf numFmtId="0" fontId="52" fillId="0" borderId="0" xfId="0" applyFont="1"/>
    <xf numFmtId="0" fontId="53" fillId="0" borderId="0" xfId="0" applyFont="1" applyAlignment="1">
      <alignment horizontal="right"/>
    </xf>
    <xf numFmtId="0" fontId="53" fillId="0" borderId="0" xfId="0" applyFont="1"/>
    <xf numFmtId="0" fontId="51" fillId="0" borderId="2" xfId="0" applyFont="1" applyBorder="1"/>
    <xf numFmtId="0" fontId="51" fillId="0" borderId="3" xfId="0" applyFont="1" applyBorder="1"/>
    <xf numFmtId="0" fontId="51" fillId="0" borderId="4" xfId="0" applyFont="1" applyBorder="1"/>
    <xf numFmtId="0" fontId="51" fillId="0" borderId="5" xfId="0" applyFont="1" applyBorder="1"/>
    <xf numFmtId="0" fontId="51" fillId="0" borderId="6" xfId="0" applyFont="1" applyBorder="1"/>
    <xf numFmtId="39" fontId="46" fillId="4" borderId="1" xfId="56" applyNumberFormat="1" applyFont="1" applyFill="1" applyBorder="1" applyAlignment="1">
      <alignment horizontal="center" vertical="center"/>
    </xf>
    <xf numFmtId="0" fontId="54" fillId="0" borderId="0" xfId="0" applyFont="1" applyAlignment="1">
      <alignment vertical="center"/>
    </xf>
    <xf numFmtId="0" fontId="51" fillId="0" borderId="0" xfId="0" applyFont="1" applyAlignment="1">
      <alignment horizontal="right"/>
    </xf>
    <xf numFmtId="7" fontId="51" fillId="0" borderId="0" xfId="0" applyNumberFormat="1" applyFont="1"/>
    <xf numFmtId="0" fontId="56" fillId="5" borderId="1" xfId="0" applyFont="1" applyFill="1" applyBorder="1" applyAlignment="1">
      <alignment horizontal="center" vertical="center" wrapText="1"/>
    </xf>
    <xf numFmtId="0" fontId="51" fillId="0" borderId="7" xfId="0" applyFont="1" applyBorder="1"/>
    <xf numFmtId="0" fontId="51" fillId="0" borderId="8" xfId="0" applyFont="1" applyBorder="1"/>
    <xf numFmtId="0" fontId="52" fillId="0" borderId="9" xfId="0" applyFont="1" applyBorder="1" applyAlignment="1">
      <alignment horizontal="center"/>
    </xf>
    <xf numFmtId="0" fontId="2" fillId="0" borderId="0" xfId="18"/>
    <xf numFmtId="0" fontId="52" fillId="0" borderId="9" xfId="18" applyFont="1" applyBorder="1" applyAlignment="1">
      <alignment horizontal="center"/>
    </xf>
    <xf numFmtId="0" fontId="51" fillId="0" borderId="8" xfId="18" applyFont="1" applyBorder="1"/>
    <xf numFmtId="0" fontId="54" fillId="0" borderId="0" xfId="18" applyFont="1" applyAlignment="1">
      <alignment vertical="center"/>
    </xf>
    <xf numFmtId="0" fontId="51" fillId="0" borderId="3" xfId="18" applyFont="1" applyBorder="1"/>
    <xf numFmtId="0" fontId="51" fillId="0" borderId="5" xfId="18" applyFont="1" applyBorder="1"/>
    <xf numFmtId="0" fontId="51" fillId="0" borderId="6" xfId="18" applyFont="1" applyBorder="1"/>
    <xf numFmtId="0" fontId="2" fillId="0" borderId="0" xfId="18" applyAlignment="1">
      <alignment horizontal="center" vertical="center"/>
    </xf>
    <xf numFmtId="0" fontId="53" fillId="0" borderId="0" xfId="18" applyFont="1" applyAlignment="1">
      <alignment horizontal="right" vertical="center"/>
    </xf>
    <xf numFmtId="0" fontId="53" fillId="0" borderId="0" xfId="18" applyFont="1" applyAlignment="1">
      <alignment horizontal="left" vertical="center"/>
    </xf>
    <xf numFmtId="0" fontId="57" fillId="6" borderId="1" xfId="18" applyFont="1" applyFill="1" applyBorder="1" applyAlignment="1">
      <alignment horizontal="center" vertical="center"/>
    </xf>
    <xf numFmtId="0" fontId="57" fillId="6" borderId="1" xfId="18" applyFont="1" applyFill="1" applyBorder="1" applyAlignment="1">
      <alignment horizontal="center" vertical="center" wrapText="1"/>
    </xf>
    <xf numFmtId="0" fontId="58" fillId="0" borderId="1" xfId="18" applyFont="1" applyBorder="1" applyAlignment="1">
      <alignment horizontal="center" vertical="center" wrapText="1"/>
    </xf>
    <xf numFmtId="0" fontId="2" fillId="2" borderId="1" xfId="18" applyFill="1" applyBorder="1" applyAlignment="1">
      <alignment horizontal="center" vertical="center"/>
    </xf>
    <xf numFmtId="0" fontId="58" fillId="2" borderId="1" xfId="18" applyFont="1" applyFill="1" applyBorder="1" applyAlignment="1">
      <alignment horizontal="center" vertical="center" wrapText="1"/>
    </xf>
    <xf numFmtId="0" fontId="58" fillId="0" borderId="10" xfId="18" applyFont="1" applyBorder="1" applyAlignment="1">
      <alignment horizontal="center" vertical="center" wrapText="1"/>
    </xf>
    <xf numFmtId="0" fontId="58" fillId="0" borderId="11" xfId="18" applyFont="1" applyBorder="1" applyAlignment="1">
      <alignment horizontal="center" vertical="center" wrapText="1"/>
    </xf>
    <xf numFmtId="0" fontId="58" fillId="0" borderId="0" xfId="18" applyFont="1" applyAlignment="1">
      <alignment horizontal="center" vertical="center" wrapText="1"/>
    </xf>
    <xf numFmtId="0" fontId="59" fillId="0" borderId="0" xfId="0" applyFont="1" applyAlignment="1">
      <alignment horizontal="left" vertical="center"/>
    </xf>
    <xf numFmtId="184" fontId="49" fillId="7" borderId="12" xfId="23" applyNumberFormat="1" applyFont="1" applyFill="1" applyBorder="1" applyAlignment="1">
      <alignment horizontal="center" vertical="center"/>
    </xf>
    <xf numFmtId="20" fontId="49" fillId="7" borderId="1" xfId="23" applyNumberFormat="1" applyFont="1" applyFill="1" applyBorder="1" applyAlignment="1">
      <alignment horizontal="center" vertical="center"/>
    </xf>
    <xf numFmtId="0" fontId="52" fillId="8" borderId="13" xfId="0" applyFont="1" applyFill="1" applyBorder="1" applyAlignment="1">
      <alignment horizontal="center" vertical="center"/>
    </xf>
    <xf numFmtId="0" fontId="52" fillId="8" borderId="14" xfId="0" applyFont="1" applyFill="1" applyBorder="1" applyAlignment="1">
      <alignment horizontal="center" vertical="center"/>
    </xf>
    <xf numFmtId="0" fontId="52" fillId="8" borderId="15" xfId="0" applyFont="1" applyFill="1" applyBorder="1" applyAlignment="1">
      <alignment horizontal="center" vertical="center"/>
    </xf>
    <xf numFmtId="0" fontId="17" fillId="0" borderId="0" xfId="0" applyFont="1"/>
    <xf numFmtId="0" fontId="17" fillId="0" borderId="0" xfId="0" applyFont="1" applyAlignment="1">
      <alignment horizontal="left" vertical="center"/>
    </xf>
    <xf numFmtId="165" fontId="51" fillId="0" borderId="0" xfId="2" applyFont="1"/>
    <xf numFmtId="0" fontId="51" fillId="0" borderId="7" xfId="18" applyFont="1" applyBorder="1" applyAlignment="1">
      <alignment horizontal="center" vertical="center"/>
    </xf>
    <xf numFmtId="0" fontId="51" fillId="0" borderId="2" xfId="18" applyFont="1" applyBorder="1" applyAlignment="1">
      <alignment horizontal="center" vertical="center"/>
    </xf>
    <xf numFmtId="0" fontId="51" fillId="0" borderId="4" xfId="18" applyFont="1" applyBorder="1" applyAlignment="1">
      <alignment horizontal="center" vertical="center"/>
    </xf>
    <xf numFmtId="0" fontId="58" fillId="0" borderId="16" xfId="18" applyFont="1" applyBorder="1" applyAlignment="1">
      <alignment horizontal="center" vertical="center" wrapText="1"/>
    </xf>
    <xf numFmtId="0" fontId="60" fillId="0" borderId="0" xfId="18" applyFont="1" applyAlignment="1">
      <alignment vertical="center"/>
    </xf>
    <xf numFmtId="0" fontId="60" fillId="0" borderId="0" xfId="18" applyFont="1" applyAlignment="1">
      <alignment horizontal="center" vertical="center"/>
    </xf>
    <xf numFmtId="37" fontId="46" fillId="4" borderId="1" xfId="56" applyNumberFormat="1" applyFont="1" applyFill="1" applyBorder="1" applyAlignment="1" applyProtection="1">
      <alignment horizontal="center" vertical="center"/>
      <protection hidden="1"/>
    </xf>
    <xf numFmtId="39" fontId="46" fillId="8" borderId="1" xfId="56" applyNumberFormat="1" applyFont="1" applyFill="1" applyBorder="1" applyAlignment="1" applyProtection="1">
      <alignment horizontal="center" vertical="center"/>
      <protection hidden="1"/>
    </xf>
    <xf numFmtId="0" fontId="53" fillId="2" borderId="1" xfId="0" applyFont="1" applyFill="1" applyBorder="1" applyAlignment="1" applyProtection="1">
      <alignment horizontal="center" vertical="center" wrapText="1"/>
      <protection locked="0"/>
    </xf>
    <xf numFmtId="39" fontId="46" fillId="2" borderId="1" xfId="56" applyNumberFormat="1" applyFont="1" applyFill="1" applyBorder="1" applyAlignment="1" applyProtection="1">
      <alignment horizontal="center" vertical="center"/>
      <protection locked="0"/>
    </xf>
    <xf numFmtId="166" fontId="46" fillId="2" borderId="1" xfId="16" applyNumberFormat="1" applyFill="1" applyBorder="1" applyAlignment="1" applyProtection="1">
      <alignment horizontal="center" vertical="center"/>
      <protection locked="0"/>
    </xf>
    <xf numFmtId="0" fontId="51" fillId="0" borderId="0" xfId="0" applyFont="1" applyProtection="1">
      <protection hidden="1"/>
    </xf>
    <xf numFmtId="0" fontId="53" fillId="0" borderId="0" xfId="0" applyFont="1" applyAlignment="1" applyProtection="1">
      <alignment horizontal="left"/>
      <protection hidden="1"/>
    </xf>
    <xf numFmtId="0" fontId="6" fillId="0" borderId="0" xfId="0" applyFont="1" applyAlignment="1" applyProtection="1">
      <alignment horizontal="left"/>
      <protection hidden="1"/>
    </xf>
    <xf numFmtId="0" fontId="51" fillId="0" borderId="7" xfId="0" applyFont="1" applyBorder="1" applyProtection="1">
      <protection hidden="1"/>
    </xf>
    <xf numFmtId="0" fontId="52" fillId="0" borderId="9" xfId="0" applyFont="1" applyBorder="1" applyAlignment="1" applyProtection="1">
      <alignment horizontal="center"/>
      <protection hidden="1"/>
    </xf>
    <xf numFmtId="0" fontId="51" fillId="0" borderId="8" xfId="0" applyFont="1" applyBorder="1" applyProtection="1">
      <protection hidden="1"/>
    </xf>
    <xf numFmtId="0" fontId="51" fillId="0" borderId="2" xfId="0" applyFont="1" applyBorder="1" applyProtection="1">
      <protection hidden="1"/>
    </xf>
    <xf numFmtId="166" fontId="46" fillId="2" borderId="1" xfId="16" applyNumberFormat="1" applyFill="1" applyBorder="1" applyAlignment="1" applyProtection="1">
      <alignment horizontal="center" vertical="center"/>
      <protection hidden="1"/>
    </xf>
    <xf numFmtId="0" fontId="54" fillId="0" borderId="0" xfId="0" applyFont="1" applyAlignment="1" applyProtection="1">
      <alignment vertical="center"/>
      <protection hidden="1"/>
    </xf>
    <xf numFmtId="0" fontId="51" fillId="0" borderId="3" xfId="0" applyFont="1" applyBorder="1" applyProtection="1">
      <protection hidden="1"/>
    </xf>
    <xf numFmtId="0" fontId="49" fillId="10" borderId="11" xfId="16" applyFont="1" applyFill="1" applyBorder="1" applyAlignment="1" applyProtection="1">
      <alignment vertical="center"/>
      <protection hidden="1"/>
    </xf>
    <xf numFmtId="0" fontId="62" fillId="10" borderId="12" xfId="16" applyFont="1" applyFill="1" applyBorder="1" applyAlignment="1" applyProtection="1">
      <alignment vertical="center"/>
      <protection hidden="1"/>
    </xf>
    <xf numFmtId="39" fontId="46" fillId="3" borderId="1" xfId="56" applyNumberFormat="1" applyFont="1" applyFill="1" applyBorder="1" applyAlignment="1" applyProtection="1">
      <alignment horizontal="center" vertical="center"/>
      <protection hidden="1"/>
    </xf>
    <xf numFmtId="39" fontId="46" fillId="4" borderId="1" xfId="56" applyNumberFormat="1" applyFont="1" applyFill="1" applyBorder="1" applyAlignment="1" applyProtection="1">
      <alignment horizontal="center" vertical="center"/>
      <protection hidden="1"/>
    </xf>
    <xf numFmtId="0" fontId="51" fillId="0" borderId="4" xfId="0" applyFont="1" applyBorder="1" applyProtection="1">
      <protection hidden="1"/>
    </xf>
    <xf numFmtId="0" fontId="51" fillId="0" borderId="5" xfId="0" applyFont="1" applyBorder="1" applyProtection="1">
      <protection hidden="1"/>
    </xf>
    <xf numFmtId="0" fontId="51" fillId="0" borderId="6" xfId="0" applyFont="1" applyBorder="1" applyProtection="1">
      <protection hidden="1"/>
    </xf>
    <xf numFmtId="0" fontId="63" fillId="11" borderId="11" xfId="16" applyFont="1" applyFill="1" applyBorder="1" applyAlignment="1" applyProtection="1">
      <alignment vertical="center"/>
      <protection hidden="1"/>
    </xf>
    <xf numFmtId="0" fontId="63" fillId="11" borderId="12" xfId="16" applyFont="1" applyFill="1" applyBorder="1" applyAlignment="1" applyProtection="1">
      <alignment vertical="center"/>
      <protection hidden="1"/>
    </xf>
    <xf numFmtId="0" fontId="53" fillId="0" borderId="0" xfId="0" applyFont="1" applyProtection="1">
      <protection hidden="1"/>
    </xf>
    <xf numFmtId="0" fontId="62" fillId="10" borderId="1" xfId="16" applyFont="1" applyFill="1" applyBorder="1" applyAlignment="1" applyProtection="1">
      <alignment horizontal="center" vertical="center"/>
      <protection hidden="1"/>
    </xf>
    <xf numFmtId="0" fontId="51" fillId="0" borderId="0" xfId="0" applyFont="1" applyAlignment="1" applyProtection="1">
      <alignment horizontal="center" vertical="center"/>
      <protection hidden="1"/>
    </xf>
    <xf numFmtId="0" fontId="64" fillId="0" borderId="0" xfId="0" applyFont="1" applyAlignment="1" applyProtection="1">
      <alignment vertical="center" textRotation="90"/>
      <protection hidden="1"/>
    </xf>
    <xf numFmtId="0" fontId="53" fillId="0" borderId="0" xfId="0" applyFont="1" applyAlignment="1" applyProtection="1">
      <alignment horizontal="left" vertical="center" wrapText="1"/>
      <protection hidden="1"/>
    </xf>
    <xf numFmtId="0" fontId="64" fillId="0" borderId="17" xfId="0" applyFont="1" applyBorder="1" applyAlignment="1" applyProtection="1">
      <alignment vertical="center" textRotation="90"/>
      <protection hidden="1"/>
    </xf>
    <xf numFmtId="0" fontId="49" fillId="4" borderId="1" xfId="16" applyFont="1" applyFill="1" applyBorder="1" applyAlignment="1" applyProtection="1">
      <alignment horizontal="center" vertical="center"/>
      <protection hidden="1"/>
    </xf>
    <xf numFmtId="37" fontId="46" fillId="2" borderId="1" xfId="56" applyNumberFormat="1" applyFont="1" applyFill="1" applyBorder="1" applyAlignment="1" applyProtection="1">
      <alignment horizontal="center" vertical="center"/>
      <protection locked="0"/>
    </xf>
    <xf numFmtId="165" fontId="46" fillId="2" borderId="1" xfId="2" applyFont="1" applyFill="1" applyBorder="1" applyAlignment="1" applyProtection="1">
      <alignment horizontal="center" vertical="center"/>
      <protection locked="0"/>
    </xf>
    <xf numFmtId="0" fontId="65" fillId="2" borderId="1" xfId="0" applyFont="1" applyFill="1" applyBorder="1" applyAlignment="1" applyProtection="1">
      <alignment horizontal="center" vertical="center" wrapText="1"/>
      <protection locked="0"/>
    </xf>
    <xf numFmtId="0" fontId="50" fillId="0" borderId="0" xfId="0" applyFont="1" applyAlignment="1" applyProtection="1">
      <alignment horizontal="center"/>
      <protection hidden="1"/>
    </xf>
    <xf numFmtId="0" fontId="50" fillId="0" borderId="0" xfId="0" applyFont="1" applyProtection="1">
      <protection hidden="1"/>
    </xf>
    <xf numFmtId="0" fontId="65" fillId="0" borderId="0" xfId="0" applyFont="1" applyAlignment="1" applyProtection="1">
      <alignment horizontal="left"/>
      <protection hidden="1"/>
    </xf>
    <xf numFmtId="0" fontId="65" fillId="0" borderId="0" xfId="0" applyFont="1" applyAlignment="1" applyProtection="1">
      <alignment horizontal="left" vertical="center" wrapText="1"/>
      <protection hidden="1"/>
    </xf>
    <xf numFmtId="0" fontId="50" fillId="0" borderId="0" xfId="0" applyFont="1" applyAlignment="1" applyProtection="1">
      <alignment horizontal="center" wrapText="1"/>
      <protection hidden="1"/>
    </xf>
    <xf numFmtId="0" fontId="65" fillId="0" borderId="0" xfId="0" applyFont="1" applyAlignment="1" applyProtection="1">
      <alignment horizontal="left" wrapText="1"/>
      <protection hidden="1"/>
    </xf>
    <xf numFmtId="0" fontId="50" fillId="0" borderId="0" xfId="0" applyFont="1" applyAlignment="1" applyProtection="1">
      <alignment wrapText="1"/>
      <protection hidden="1"/>
    </xf>
    <xf numFmtId="4" fontId="65" fillId="0" borderId="0" xfId="0" applyNumberFormat="1" applyFont="1" applyAlignment="1" applyProtection="1">
      <alignment horizontal="left"/>
      <protection hidden="1"/>
    </xf>
    <xf numFmtId="0" fontId="66" fillId="12" borderId="1" xfId="0" applyFont="1" applyFill="1" applyBorder="1" applyAlignment="1" applyProtection="1">
      <alignment horizontal="center" vertical="center" wrapText="1"/>
      <protection hidden="1"/>
    </xf>
    <xf numFmtId="0" fontId="66" fillId="12" borderId="11" xfId="0" applyFont="1" applyFill="1" applyBorder="1" applyAlignment="1" applyProtection="1">
      <alignment horizontal="center" vertical="center" wrapText="1"/>
      <protection hidden="1"/>
    </xf>
    <xf numFmtId="0" fontId="66" fillId="11" borderId="1" xfId="0" applyFont="1" applyFill="1" applyBorder="1" applyAlignment="1" applyProtection="1">
      <alignment horizontal="center" vertical="center" wrapText="1"/>
      <protection hidden="1"/>
    </xf>
    <xf numFmtId="0" fontId="50" fillId="2" borderId="1" xfId="0" applyFont="1" applyFill="1" applyBorder="1" applyAlignment="1" applyProtection="1">
      <alignment horizontal="center"/>
      <protection hidden="1"/>
    </xf>
    <xf numFmtId="3" fontId="50" fillId="8" borderId="1" xfId="0" applyNumberFormat="1" applyFont="1" applyFill="1" applyBorder="1" applyAlignment="1" applyProtection="1">
      <alignment horizontal="center"/>
      <protection hidden="1"/>
    </xf>
    <xf numFmtId="3" fontId="50" fillId="0" borderId="0" xfId="0" applyNumberFormat="1" applyFont="1" applyProtection="1">
      <protection hidden="1"/>
    </xf>
    <xf numFmtId="0" fontId="50" fillId="2" borderId="1" xfId="0" applyFont="1" applyFill="1" applyBorder="1" applyAlignment="1" applyProtection="1">
      <alignment horizontal="center"/>
      <protection locked="0"/>
    </xf>
    <xf numFmtId="0" fontId="50" fillId="2" borderId="11" xfId="0" applyFont="1" applyFill="1" applyBorder="1" applyAlignment="1" applyProtection="1">
      <alignment horizontal="center"/>
      <protection locked="0"/>
    </xf>
    <xf numFmtId="0" fontId="52" fillId="7" borderId="1" xfId="0" applyFont="1" applyFill="1" applyBorder="1" applyAlignment="1" applyProtection="1">
      <alignment horizontal="center"/>
      <protection hidden="1"/>
    </xf>
    <xf numFmtId="0" fontId="51" fillId="13" borderId="1" xfId="0" applyFont="1" applyFill="1" applyBorder="1" applyAlignment="1" applyProtection="1">
      <alignment horizontal="center"/>
      <protection hidden="1"/>
    </xf>
    <xf numFmtId="0" fontId="30" fillId="0" borderId="0" xfId="0" applyFont="1" applyProtection="1">
      <protection hidden="1"/>
    </xf>
    <xf numFmtId="0" fontId="52" fillId="0" borderId="0" xfId="0" applyFont="1" applyProtection="1">
      <protection hidden="1"/>
    </xf>
    <xf numFmtId="0" fontId="9" fillId="0" borderId="0" xfId="0" applyFont="1" applyAlignment="1" applyProtection="1">
      <alignment horizontal="left"/>
      <protection hidden="1"/>
    </xf>
    <xf numFmtId="0" fontId="48" fillId="12" borderId="1" xfId="16" applyFont="1" applyFill="1" applyBorder="1" applyAlignment="1" applyProtection="1">
      <alignment horizontal="center" vertical="center"/>
      <protection hidden="1"/>
    </xf>
    <xf numFmtId="167" fontId="51" fillId="0" borderId="0" xfId="0" applyNumberFormat="1" applyFont="1" applyProtection="1">
      <protection hidden="1"/>
    </xf>
    <xf numFmtId="167" fontId="46" fillId="14" borderId="16" xfId="56" applyNumberFormat="1" applyFont="1" applyFill="1" applyBorder="1" applyAlignment="1" applyProtection="1">
      <alignment horizontal="center" vertical="center"/>
      <protection hidden="1"/>
    </xf>
    <xf numFmtId="167" fontId="46" fillId="14" borderId="1" xfId="56" applyNumberFormat="1" applyFont="1" applyFill="1" applyBorder="1" applyAlignment="1" applyProtection="1">
      <alignment horizontal="center" vertical="center"/>
      <protection hidden="1"/>
    </xf>
    <xf numFmtId="0" fontId="53" fillId="0" borderId="0" xfId="0" applyFont="1" applyAlignment="1" applyProtection="1">
      <alignment vertical="center"/>
      <protection hidden="1"/>
    </xf>
    <xf numFmtId="167" fontId="46" fillId="2" borderId="1" xfId="56" applyNumberFormat="1" applyFont="1" applyFill="1" applyBorder="1" applyAlignment="1" applyProtection="1">
      <alignment horizontal="center" vertical="center"/>
      <protection locked="0"/>
    </xf>
    <xf numFmtId="0" fontId="53" fillId="0" borderId="0" xfId="0" applyFont="1" applyAlignment="1" applyProtection="1">
      <alignment horizontal="right"/>
      <protection hidden="1"/>
    </xf>
    <xf numFmtId="0" fontId="54" fillId="0" borderId="0" xfId="0" applyFont="1" applyProtection="1">
      <protection hidden="1"/>
    </xf>
    <xf numFmtId="0" fontId="29" fillId="0" borderId="0" xfId="0" applyFont="1" applyAlignment="1" applyProtection="1">
      <alignment horizontal="right"/>
      <protection hidden="1"/>
    </xf>
    <xf numFmtId="0" fontId="67" fillId="0" borderId="0" xfId="16" applyFont="1" applyProtection="1">
      <protection hidden="1"/>
    </xf>
    <xf numFmtId="43" fontId="49" fillId="4" borderId="1" xfId="56" applyFont="1" applyFill="1" applyBorder="1" applyProtection="1">
      <protection hidden="1"/>
    </xf>
    <xf numFmtId="166" fontId="49" fillId="4" borderId="1" xfId="56" applyNumberFormat="1" applyFont="1" applyFill="1" applyBorder="1" applyProtection="1">
      <protection hidden="1"/>
    </xf>
    <xf numFmtId="0" fontId="54" fillId="0" borderId="0" xfId="0" applyFont="1" applyAlignment="1" applyProtection="1">
      <alignment horizontal="right"/>
      <protection hidden="1"/>
    </xf>
    <xf numFmtId="0" fontId="54" fillId="0" borderId="0" xfId="0" applyFont="1" applyAlignment="1" applyProtection="1">
      <alignment horizontal="left"/>
      <protection hidden="1"/>
    </xf>
    <xf numFmtId="43" fontId="46" fillId="14" borderId="1" xfId="56" applyFont="1" applyFill="1" applyBorder="1" applyProtection="1">
      <protection locked="0"/>
    </xf>
    <xf numFmtId="9" fontId="54" fillId="14" borderId="1" xfId="48" applyFont="1" applyFill="1" applyBorder="1" applyProtection="1">
      <protection locked="0"/>
    </xf>
    <xf numFmtId="9" fontId="54" fillId="14" borderId="1" xfId="36" applyFont="1" applyFill="1" applyBorder="1" applyProtection="1">
      <protection locked="0"/>
    </xf>
    <xf numFmtId="0" fontId="59" fillId="0" borderId="0" xfId="0" applyFont="1" applyProtection="1">
      <protection hidden="1"/>
    </xf>
    <xf numFmtId="0" fontId="65" fillId="10" borderId="11" xfId="0" applyFont="1" applyFill="1" applyBorder="1" applyProtection="1">
      <protection hidden="1"/>
    </xf>
    <xf numFmtId="0" fontId="65" fillId="10" borderId="11" xfId="0" applyFont="1" applyFill="1" applyBorder="1" applyAlignment="1" applyProtection="1">
      <alignment wrapText="1"/>
      <protection hidden="1"/>
    </xf>
    <xf numFmtId="0" fontId="48" fillId="11" borderId="1" xfId="16" applyFont="1" applyFill="1" applyBorder="1" applyAlignment="1" applyProtection="1">
      <alignment horizontal="center" vertical="center"/>
      <protection hidden="1"/>
    </xf>
    <xf numFmtId="182" fontId="46" fillId="8" borderId="1" xfId="54" applyNumberFormat="1" applyFont="1" applyFill="1" applyBorder="1" applyAlignment="1" applyProtection="1">
      <alignment horizontal="center" vertical="center"/>
      <protection hidden="1"/>
    </xf>
    <xf numFmtId="0" fontId="53" fillId="0" borderId="0" xfId="0" applyFont="1" applyAlignment="1" applyProtection="1">
      <alignment horizontal="center"/>
      <protection hidden="1"/>
    </xf>
    <xf numFmtId="0" fontId="9" fillId="0" borderId="0" xfId="0" applyFont="1" applyProtection="1">
      <protection hidden="1"/>
    </xf>
    <xf numFmtId="4" fontId="46" fillId="8" borderId="1" xfId="54" applyNumberFormat="1" applyFont="1" applyFill="1" applyBorder="1" applyAlignment="1" applyProtection="1">
      <alignment horizontal="center" vertical="center"/>
      <protection hidden="1"/>
    </xf>
    <xf numFmtId="0" fontId="68" fillId="11" borderId="1" xfId="0" applyFont="1" applyFill="1" applyBorder="1" applyAlignment="1" applyProtection="1">
      <alignment horizontal="left" vertical="center" wrapText="1"/>
      <protection hidden="1"/>
    </xf>
    <xf numFmtId="3" fontId="69" fillId="8" borderId="1" xfId="0" applyNumberFormat="1" applyFont="1" applyFill="1" applyBorder="1" applyAlignment="1" applyProtection="1">
      <alignment vertical="center"/>
      <protection hidden="1"/>
    </xf>
    <xf numFmtId="0" fontId="70" fillId="0" borderId="0" xfId="0" applyFont="1" applyAlignment="1" applyProtection="1">
      <alignment vertical="center"/>
      <protection hidden="1"/>
    </xf>
    <xf numFmtId="0" fontId="51" fillId="0" borderId="0" xfId="0" applyFont="1" applyAlignment="1" applyProtection="1">
      <alignment horizontal="left"/>
      <protection hidden="1"/>
    </xf>
    <xf numFmtId="3" fontId="46" fillId="8" borderId="1" xfId="54" applyNumberFormat="1" applyFont="1" applyFill="1" applyBorder="1" applyAlignment="1" applyProtection="1">
      <alignment horizontal="center" vertical="center"/>
      <protection hidden="1"/>
    </xf>
    <xf numFmtId="0" fontId="0" fillId="0" borderId="0" xfId="0" applyProtection="1">
      <protection hidden="1"/>
    </xf>
    <xf numFmtId="169" fontId="46" fillId="15" borderId="1" xfId="56" applyNumberFormat="1" applyFont="1" applyFill="1" applyBorder="1" applyAlignment="1" applyProtection="1">
      <alignment horizontal="center" vertical="center"/>
      <protection hidden="1"/>
    </xf>
    <xf numFmtId="7" fontId="71" fillId="8" borderId="1" xfId="56" applyNumberFormat="1" applyFont="1" applyFill="1" applyBorder="1" applyAlignment="1" applyProtection="1">
      <alignment horizontal="center" vertical="center"/>
      <protection hidden="1"/>
    </xf>
    <xf numFmtId="169" fontId="46" fillId="2" borderId="1" xfId="56" applyNumberFormat="1" applyFont="1" applyFill="1" applyBorder="1" applyAlignment="1" applyProtection="1">
      <alignment horizontal="center" vertical="center"/>
      <protection locked="0"/>
    </xf>
    <xf numFmtId="5" fontId="46" fillId="2" borderId="1" xfId="56" applyNumberFormat="1" applyFont="1" applyFill="1" applyBorder="1" applyAlignment="1" applyProtection="1">
      <alignment horizontal="center" vertical="center"/>
      <protection locked="0"/>
    </xf>
    <xf numFmtId="0" fontId="4" fillId="9" borderId="0" xfId="0" applyFont="1" applyFill="1" applyAlignment="1" applyProtection="1">
      <alignment horizontal="right"/>
      <protection hidden="1"/>
    </xf>
    <xf numFmtId="0" fontId="3" fillId="9" borderId="0" xfId="0" applyFont="1" applyFill="1" applyProtection="1">
      <protection hidden="1"/>
    </xf>
    <xf numFmtId="0" fontId="0" fillId="9" borderId="0" xfId="0" applyFill="1" applyProtection="1">
      <protection hidden="1"/>
    </xf>
    <xf numFmtId="0" fontId="72" fillId="9" borderId="0" xfId="0" applyFont="1" applyFill="1" applyProtection="1">
      <protection hidden="1"/>
    </xf>
    <xf numFmtId="0" fontId="2" fillId="0" borderId="0" xfId="0" applyFont="1" applyProtection="1">
      <protection hidden="1"/>
    </xf>
    <xf numFmtId="0" fontId="4" fillId="9" borderId="0" xfId="0" applyFont="1" applyFill="1" applyAlignment="1" applyProtection="1">
      <alignment horizontal="left"/>
      <protection hidden="1"/>
    </xf>
    <xf numFmtId="0" fontId="73" fillId="9" borderId="0" xfId="0" applyFont="1" applyFill="1" applyAlignment="1" applyProtection="1">
      <alignment horizontal="left"/>
      <protection hidden="1"/>
    </xf>
    <xf numFmtId="0" fontId="3" fillId="9" borderId="0" xfId="0" applyFont="1" applyFill="1" applyAlignment="1" applyProtection="1">
      <alignment horizontal="left"/>
      <protection hidden="1"/>
    </xf>
    <xf numFmtId="0" fontId="3" fillId="9" borderId="0" xfId="0" applyFont="1" applyFill="1" applyAlignment="1" applyProtection="1">
      <alignment horizontal="right"/>
      <protection hidden="1"/>
    </xf>
    <xf numFmtId="0" fontId="51" fillId="9" borderId="0" xfId="0" applyFont="1" applyFill="1" applyProtection="1">
      <protection hidden="1"/>
    </xf>
    <xf numFmtId="0" fontId="54" fillId="9" borderId="0" xfId="0" applyFont="1" applyFill="1" applyProtection="1">
      <protection hidden="1"/>
    </xf>
    <xf numFmtId="0" fontId="59" fillId="9" borderId="0" xfId="0" applyFont="1" applyFill="1" applyProtection="1">
      <protection hidden="1"/>
    </xf>
    <xf numFmtId="0" fontId="3" fillId="9" borderId="0" xfId="0" applyFont="1" applyFill="1" applyAlignment="1" applyProtection="1">
      <alignment horizontal="right" vertical="center"/>
      <protection hidden="1"/>
    </xf>
    <xf numFmtId="0" fontId="51" fillId="9" borderId="0" xfId="0" applyFont="1" applyFill="1" applyAlignment="1" applyProtection="1">
      <alignment vertical="center"/>
      <protection hidden="1"/>
    </xf>
    <xf numFmtId="0" fontId="54" fillId="9" borderId="0" xfId="0" applyFont="1" applyFill="1" applyAlignment="1" applyProtection="1">
      <alignment vertical="center"/>
      <protection hidden="1"/>
    </xf>
    <xf numFmtId="0" fontId="59" fillId="9" borderId="0" xfId="0" applyFont="1" applyFill="1" applyAlignment="1" applyProtection="1">
      <alignment horizontal="left" vertical="center"/>
      <protection hidden="1"/>
    </xf>
    <xf numFmtId="0" fontId="59" fillId="9" borderId="0" xfId="0" applyFont="1" applyFill="1" applyAlignment="1" applyProtection="1">
      <alignment horizontal="left"/>
      <protection hidden="1"/>
    </xf>
    <xf numFmtId="7" fontId="46" fillId="4" borderId="1" xfId="56" applyNumberFormat="1" applyFont="1" applyFill="1" applyBorder="1" applyProtection="1">
      <protection hidden="1"/>
    </xf>
    <xf numFmtId="43" fontId="0" fillId="0" borderId="0" xfId="0" applyNumberFormat="1" applyProtection="1">
      <protection hidden="1"/>
    </xf>
    <xf numFmtId="0" fontId="3" fillId="9" borderId="18" xfId="0" applyFont="1" applyFill="1" applyBorder="1" applyAlignment="1" applyProtection="1">
      <alignment horizontal="left"/>
      <protection hidden="1"/>
    </xf>
    <xf numFmtId="0" fontId="4" fillId="9" borderId="0" xfId="0" applyFont="1" applyFill="1" applyAlignment="1" applyProtection="1">
      <alignment horizontal="right" vertical="center"/>
      <protection hidden="1"/>
    </xf>
    <xf numFmtId="0" fontId="3" fillId="9" borderId="0" xfId="0" applyFont="1" applyFill="1" applyAlignment="1" applyProtection="1">
      <alignment vertical="center"/>
      <protection hidden="1"/>
    </xf>
    <xf numFmtId="0" fontId="0" fillId="9" borderId="0" xfId="0" applyFill="1" applyAlignment="1" applyProtection="1">
      <alignment vertical="center"/>
      <protection hidden="1"/>
    </xf>
    <xf numFmtId="0" fontId="0" fillId="0" borderId="0" xfId="0" applyAlignment="1" applyProtection="1">
      <alignment vertical="center"/>
      <protection hidden="1"/>
    </xf>
    <xf numFmtId="0" fontId="59" fillId="9" borderId="0" xfId="0" applyFont="1" applyFill="1" applyAlignment="1" applyProtection="1">
      <alignment vertical="center"/>
      <protection hidden="1"/>
    </xf>
    <xf numFmtId="164" fontId="46" fillId="4" borderId="1" xfId="54" applyFont="1" applyFill="1" applyBorder="1" applyProtection="1">
      <protection hidden="1"/>
    </xf>
    <xf numFmtId="0" fontId="3" fillId="9" borderId="0" xfId="0" applyFont="1" applyFill="1" applyAlignment="1" applyProtection="1">
      <alignment horizontal="left" vertical="center"/>
      <protection hidden="1"/>
    </xf>
    <xf numFmtId="0" fontId="3" fillId="9" borderId="0" xfId="0" applyFont="1" applyFill="1" applyAlignment="1" applyProtection="1">
      <alignment horizontal="left" vertical="center" wrapText="1"/>
      <protection hidden="1"/>
    </xf>
    <xf numFmtId="164" fontId="46" fillId="7" borderId="1" xfId="54" applyFont="1" applyFill="1" applyBorder="1" applyAlignment="1" applyProtection="1">
      <alignment vertical="center"/>
      <protection hidden="1"/>
    </xf>
    <xf numFmtId="172" fontId="46" fillId="14" borderId="1" xfId="56" applyNumberFormat="1" applyFont="1" applyFill="1" applyBorder="1" applyProtection="1">
      <protection locked="0"/>
    </xf>
    <xf numFmtId="173" fontId="46" fillId="7" borderId="1" xfId="56" applyNumberFormat="1" applyFont="1" applyFill="1" applyBorder="1" applyAlignment="1" applyProtection="1">
      <alignment vertical="center"/>
      <protection locked="0"/>
    </xf>
    <xf numFmtId="171" fontId="46" fillId="7" borderId="1" xfId="56" applyNumberFormat="1" applyFont="1" applyFill="1" applyBorder="1" applyAlignment="1" applyProtection="1">
      <alignment vertical="center"/>
      <protection locked="0"/>
    </xf>
    <xf numFmtId="174" fontId="46" fillId="7" borderId="1" xfId="56" applyNumberFormat="1" applyFont="1" applyFill="1" applyBorder="1" applyAlignment="1" applyProtection="1">
      <alignment vertical="center"/>
      <protection locked="0"/>
    </xf>
    <xf numFmtId="172" fontId="46" fillId="7" borderId="1" xfId="56" applyNumberFormat="1" applyFont="1" applyFill="1" applyBorder="1" applyProtection="1">
      <protection locked="0"/>
    </xf>
    <xf numFmtId="43" fontId="46" fillId="7" borderId="1" xfId="56" applyFont="1" applyFill="1" applyBorder="1" applyProtection="1">
      <protection locked="0"/>
    </xf>
    <xf numFmtId="164" fontId="46" fillId="14" borderId="1" xfId="54" applyFont="1" applyFill="1" applyBorder="1" applyProtection="1">
      <protection locked="0"/>
    </xf>
    <xf numFmtId="164" fontId="46" fillId="7" borderId="1" xfId="54" applyFont="1" applyFill="1" applyBorder="1" applyAlignment="1" applyProtection="1">
      <alignment vertical="center"/>
      <protection locked="0"/>
    </xf>
    <xf numFmtId="43" fontId="46" fillId="14" borderId="1" xfId="56" applyFont="1" applyFill="1" applyBorder="1" applyAlignment="1" applyProtection="1">
      <alignment vertical="center"/>
      <protection locked="0"/>
    </xf>
    <xf numFmtId="166" fontId="46" fillId="14" borderId="1" xfId="56" applyNumberFormat="1" applyFont="1" applyFill="1" applyBorder="1" applyAlignment="1" applyProtection="1">
      <alignment vertical="center"/>
      <protection locked="0"/>
    </xf>
    <xf numFmtId="2" fontId="46" fillId="14" borderId="1" xfId="30" applyNumberFormat="1" applyFont="1" applyFill="1" applyBorder="1" applyAlignment="1" applyProtection="1">
      <alignment vertical="center"/>
      <protection locked="0"/>
    </xf>
    <xf numFmtId="0" fontId="0" fillId="0" borderId="0" xfId="0" applyProtection="1">
      <protection locked="0"/>
    </xf>
    <xf numFmtId="0" fontId="54" fillId="9" borderId="0" xfId="0" applyFont="1" applyFill="1" applyAlignment="1" applyProtection="1">
      <alignment vertical="center"/>
      <protection locked="0"/>
    </xf>
    <xf numFmtId="164" fontId="46" fillId="14" borderId="1" xfId="54" applyFont="1" applyFill="1" applyBorder="1" applyAlignment="1" applyProtection="1">
      <alignment vertical="center"/>
      <protection locked="0"/>
    </xf>
    <xf numFmtId="0" fontId="4" fillId="0" borderId="0" xfId="0" applyFont="1" applyProtection="1">
      <protection hidden="1"/>
    </xf>
    <xf numFmtId="0" fontId="74" fillId="11" borderId="11" xfId="0" applyFont="1" applyFill="1" applyBorder="1" applyAlignment="1" applyProtection="1">
      <alignment horizontal="center"/>
      <protection hidden="1"/>
    </xf>
    <xf numFmtId="43" fontId="74" fillId="11" borderId="12" xfId="0" applyNumberFormat="1" applyFont="1" applyFill="1" applyBorder="1" applyProtection="1">
      <protection hidden="1"/>
    </xf>
    <xf numFmtId="43" fontId="2" fillId="0" borderId="0" xfId="0" applyNumberFormat="1" applyFont="1" applyProtection="1">
      <protection hidden="1"/>
    </xf>
    <xf numFmtId="0" fontId="17" fillId="0" borderId="0" xfId="0" applyFont="1" applyProtection="1">
      <protection hidden="1"/>
    </xf>
    <xf numFmtId="0" fontId="3" fillId="0" borderId="0" xfId="0" applyFont="1" applyProtection="1">
      <protection hidden="1"/>
    </xf>
    <xf numFmtId="0" fontId="0" fillId="0" borderId="0" xfId="0" applyAlignment="1" applyProtection="1">
      <alignment horizontal="center"/>
      <protection hidden="1"/>
    </xf>
    <xf numFmtId="0" fontId="10" fillId="8" borderId="11" xfId="0" applyFont="1" applyFill="1" applyBorder="1" applyAlignment="1" applyProtection="1">
      <alignment horizontal="center"/>
      <protection hidden="1"/>
    </xf>
    <xf numFmtId="43" fontId="0" fillId="8" borderId="12" xfId="0" applyNumberFormat="1" applyFill="1" applyBorder="1" applyProtection="1">
      <protection hidden="1"/>
    </xf>
    <xf numFmtId="9" fontId="0" fillId="0" borderId="0" xfId="30" applyFont="1" applyFill="1" applyProtection="1">
      <protection hidden="1"/>
    </xf>
    <xf numFmtId="10" fontId="0" fillId="0" borderId="0" xfId="30" applyNumberFormat="1" applyFont="1" applyFill="1" applyProtection="1">
      <protection hidden="1"/>
    </xf>
    <xf numFmtId="16" fontId="0" fillId="0" borderId="0" xfId="0" quotePrefix="1" applyNumberFormat="1" applyProtection="1">
      <protection hidden="1"/>
    </xf>
    <xf numFmtId="0" fontId="0" fillId="0" borderId="0" xfId="0" quotePrefix="1" applyProtection="1">
      <protection hidden="1"/>
    </xf>
    <xf numFmtId="0" fontId="74" fillId="11" borderId="19" xfId="0" applyFont="1" applyFill="1" applyBorder="1" applyAlignment="1" applyProtection="1">
      <alignment horizontal="center"/>
      <protection hidden="1"/>
    </xf>
    <xf numFmtId="0" fontId="74" fillId="11" borderId="20" xfId="0" applyFont="1" applyFill="1" applyBorder="1" applyAlignment="1" applyProtection="1">
      <alignment horizontal="center"/>
      <protection hidden="1"/>
    </xf>
    <xf numFmtId="4" fontId="74" fillId="11" borderId="12" xfId="0" applyNumberFormat="1" applyFont="1" applyFill="1" applyBorder="1" applyProtection="1">
      <protection hidden="1"/>
    </xf>
    <xf numFmtId="4" fontId="0" fillId="0" borderId="0" xfId="0" applyNumberFormat="1" applyProtection="1">
      <protection hidden="1"/>
    </xf>
    <xf numFmtId="0" fontId="4" fillId="0" borderId="0" xfId="0" applyFont="1" applyAlignment="1" applyProtection="1">
      <alignment horizontal="right"/>
      <protection hidden="1"/>
    </xf>
    <xf numFmtId="0" fontId="74" fillId="16" borderId="19" xfId="0" applyFont="1" applyFill="1" applyBorder="1" applyAlignment="1" applyProtection="1">
      <alignment horizontal="center"/>
      <protection hidden="1"/>
    </xf>
    <xf numFmtId="0" fontId="74" fillId="16" borderId="20" xfId="0" applyFont="1" applyFill="1" applyBorder="1" applyAlignment="1" applyProtection="1">
      <alignment horizontal="center"/>
      <protection hidden="1"/>
    </xf>
    <xf numFmtId="4" fontId="74" fillId="16" borderId="12" xfId="0" applyNumberFormat="1" applyFont="1" applyFill="1" applyBorder="1" applyProtection="1">
      <protection hidden="1"/>
    </xf>
    <xf numFmtId="0" fontId="10" fillId="8" borderId="10" xfId="0" applyFont="1" applyFill="1" applyBorder="1" applyAlignment="1" applyProtection="1">
      <alignment horizontal="center"/>
      <protection hidden="1"/>
    </xf>
    <xf numFmtId="0" fontId="10" fillId="8" borderId="20" xfId="0" applyFont="1" applyFill="1" applyBorder="1" applyAlignment="1" applyProtection="1">
      <alignment horizontal="center"/>
      <protection hidden="1"/>
    </xf>
    <xf numFmtId="4" fontId="0" fillId="8" borderId="12" xfId="0" applyNumberFormat="1" applyFill="1" applyBorder="1" applyProtection="1">
      <protection hidden="1"/>
    </xf>
    <xf numFmtId="0" fontId="10" fillId="8" borderId="21" xfId="0" applyFont="1" applyFill="1" applyBorder="1" applyAlignment="1" applyProtection="1">
      <alignment horizontal="center"/>
      <protection hidden="1"/>
    </xf>
    <xf numFmtId="0" fontId="10" fillId="8" borderId="16" xfId="0" applyFont="1" applyFill="1" applyBorder="1" applyAlignment="1" applyProtection="1">
      <alignment horizontal="center"/>
      <protection hidden="1"/>
    </xf>
    <xf numFmtId="0" fontId="10" fillId="0" borderId="0" xfId="0" applyFont="1" applyAlignment="1" applyProtection="1">
      <alignment horizontal="center"/>
      <protection hidden="1"/>
    </xf>
    <xf numFmtId="4" fontId="74" fillId="16" borderId="20" xfId="0" applyNumberFormat="1" applyFont="1" applyFill="1" applyBorder="1" applyProtection="1">
      <protection hidden="1"/>
    </xf>
    <xf numFmtId="165" fontId="0" fillId="0" borderId="0" xfId="2" applyFont="1" applyFill="1" applyProtection="1">
      <protection hidden="1"/>
    </xf>
    <xf numFmtId="10" fontId="0" fillId="0" borderId="0" xfId="0" applyNumberFormat="1" applyProtection="1">
      <protection hidden="1"/>
    </xf>
    <xf numFmtId="164" fontId="0" fillId="0" borderId="0" xfId="54" applyFont="1" applyFill="1" applyProtection="1">
      <protection hidden="1"/>
    </xf>
    <xf numFmtId="0" fontId="74" fillId="16" borderId="11" xfId="0" applyFont="1" applyFill="1" applyBorder="1" applyAlignment="1" applyProtection="1">
      <alignment horizontal="center"/>
      <protection hidden="1"/>
    </xf>
    <xf numFmtId="0" fontId="4" fillId="0" borderId="0" xfId="0" applyFont="1" applyAlignment="1" applyProtection="1">
      <alignment horizontal="right" vertical="center"/>
      <protection hidden="1"/>
    </xf>
    <xf numFmtId="0" fontId="4" fillId="0" borderId="0" xfId="0" applyFont="1" applyAlignment="1" applyProtection="1">
      <alignment horizontal="left" vertical="center"/>
      <protection hidden="1"/>
    </xf>
    <xf numFmtId="0" fontId="3" fillId="0" borderId="0" xfId="0" applyFont="1" applyAlignment="1" applyProtection="1">
      <alignment vertical="center"/>
      <protection hidden="1"/>
    </xf>
    <xf numFmtId="0" fontId="4" fillId="0" borderId="0" xfId="0" applyFont="1" applyAlignment="1" applyProtection="1">
      <alignment vertical="center"/>
      <protection hidden="1"/>
    </xf>
    <xf numFmtId="0" fontId="3" fillId="0" borderId="0" xfId="0" applyFont="1" applyAlignment="1" applyProtection="1">
      <alignment horizontal="right"/>
      <protection hidden="1"/>
    </xf>
    <xf numFmtId="9" fontId="74" fillId="16" borderId="12" xfId="30" applyFont="1" applyFill="1" applyBorder="1" applyProtection="1">
      <protection hidden="1"/>
    </xf>
    <xf numFmtId="168" fontId="74" fillId="11" borderId="12" xfId="0" applyNumberFormat="1" applyFont="1" applyFill="1" applyBorder="1" applyProtection="1">
      <protection hidden="1"/>
    </xf>
    <xf numFmtId="44" fontId="0" fillId="0" borderId="0" xfId="0" applyNumberFormat="1" applyProtection="1">
      <protection hidden="1"/>
    </xf>
    <xf numFmtId="3" fontId="74" fillId="16" borderId="12" xfId="0" applyNumberFormat="1" applyFont="1" applyFill="1" applyBorder="1" applyProtection="1">
      <protection hidden="1"/>
    </xf>
    <xf numFmtId="0" fontId="60" fillId="9" borderId="0" xfId="0" applyFont="1" applyFill="1" applyProtection="1">
      <protection hidden="1"/>
    </xf>
    <xf numFmtId="176" fontId="60" fillId="9" borderId="0" xfId="30" applyNumberFormat="1" applyFont="1" applyFill="1" applyProtection="1">
      <protection hidden="1"/>
    </xf>
    <xf numFmtId="0" fontId="50" fillId="9" borderId="0" xfId="0" applyFont="1" applyFill="1" applyProtection="1">
      <protection hidden="1"/>
    </xf>
    <xf numFmtId="0" fontId="50" fillId="0" borderId="1" xfId="0" applyFont="1" applyBorder="1" applyAlignment="1" applyProtection="1">
      <alignment horizontal="center"/>
      <protection hidden="1"/>
    </xf>
    <xf numFmtId="0" fontId="50" fillId="0" borderId="11" xfId="0" applyFont="1" applyBorder="1" applyAlignment="1" applyProtection="1">
      <alignment horizontal="center"/>
      <protection hidden="1"/>
    </xf>
    <xf numFmtId="0" fontId="75" fillId="17" borderId="19" xfId="0" applyFont="1" applyFill="1" applyBorder="1" applyProtection="1">
      <protection hidden="1"/>
    </xf>
    <xf numFmtId="0" fontId="50" fillId="17" borderId="22" xfId="0" applyFont="1" applyFill="1" applyBorder="1" applyProtection="1">
      <protection hidden="1"/>
    </xf>
    <xf numFmtId="176" fontId="60" fillId="9" borderId="21" xfId="30" applyNumberFormat="1" applyFont="1" applyFill="1" applyBorder="1" applyProtection="1">
      <protection hidden="1"/>
    </xf>
    <xf numFmtId="165" fontId="50" fillId="17" borderId="0" xfId="2" applyFont="1" applyFill="1" applyBorder="1" applyProtection="1">
      <protection hidden="1"/>
    </xf>
    <xf numFmtId="10" fontId="50" fillId="17" borderId="0" xfId="30" applyNumberFormat="1" applyFont="1" applyFill="1" applyBorder="1" applyProtection="1">
      <protection hidden="1"/>
    </xf>
    <xf numFmtId="176" fontId="60" fillId="18" borderId="21" xfId="30" applyNumberFormat="1" applyFont="1" applyFill="1" applyBorder="1" applyProtection="1">
      <protection hidden="1"/>
    </xf>
    <xf numFmtId="165" fontId="50" fillId="17" borderId="23" xfId="2" applyFont="1" applyFill="1" applyBorder="1" applyProtection="1">
      <protection hidden="1"/>
    </xf>
    <xf numFmtId="10" fontId="50" fillId="17" borderId="23" xfId="30" applyNumberFormat="1" applyFont="1" applyFill="1" applyBorder="1" applyProtection="1">
      <protection hidden="1"/>
    </xf>
    <xf numFmtId="165" fontId="50" fillId="17" borderId="1" xfId="2" applyFont="1" applyFill="1" applyBorder="1" applyProtection="1">
      <protection hidden="1"/>
    </xf>
    <xf numFmtId="9" fontId="50" fillId="17" borderId="11" xfId="30" applyFont="1" applyFill="1" applyBorder="1" applyProtection="1">
      <protection hidden="1"/>
    </xf>
    <xf numFmtId="0" fontId="75" fillId="19" borderId="19" xfId="0" applyFont="1" applyFill="1" applyBorder="1" applyProtection="1">
      <protection hidden="1"/>
    </xf>
    <xf numFmtId="0" fontId="50" fillId="19" borderId="22" xfId="0" applyFont="1" applyFill="1" applyBorder="1" applyProtection="1">
      <protection hidden="1"/>
    </xf>
    <xf numFmtId="0" fontId="75" fillId="19" borderId="17" xfId="0" applyFont="1" applyFill="1" applyBorder="1" applyProtection="1">
      <protection hidden="1"/>
    </xf>
    <xf numFmtId="0" fontId="50" fillId="19" borderId="0" xfId="0" applyFont="1" applyFill="1" applyProtection="1">
      <protection hidden="1"/>
    </xf>
    <xf numFmtId="165" fontId="50" fillId="19" borderId="0" xfId="2" applyFont="1" applyFill="1" applyBorder="1" applyProtection="1">
      <protection hidden="1"/>
    </xf>
    <xf numFmtId="10" fontId="50" fillId="19" borderId="0" xfId="30" applyNumberFormat="1" applyFont="1" applyFill="1" applyBorder="1" applyProtection="1">
      <protection hidden="1"/>
    </xf>
    <xf numFmtId="165" fontId="75" fillId="19" borderId="0" xfId="2" applyFont="1" applyFill="1" applyBorder="1" applyAlignment="1" applyProtection="1">
      <alignment horizontal="right"/>
      <protection hidden="1"/>
    </xf>
    <xf numFmtId="10" fontId="75" fillId="19" borderId="0" xfId="30" applyNumberFormat="1" applyFont="1" applyFill="1" applyBorder="1" applyAlignment="1" applyProtection="1">
      <alignment horizontal="right"/>
      <protection hidden="1"/>
    </xf>
    <xf numFmtId="0" fontId="50" fillId="19" borderId="0" xfId="2" applyNumberFormat="1" applyFont="1" applyFill="1" applyBorder="1" applyProtection="1">
      <protection hidden="1"/>
    </xf>
    <xf numFmtId="165" fontId="75" fillId="19" borderId="0" xfId="2" applyFont="1" applyFill="1" applyBorder="1" applyAlignment="1" applyProtection="1">
      <alignment horizontal="center"/>
      <protection hidden="1"/>
    </xf>
    <xf numFmtId="10" fontId="75" fillId="19" borderId="0" xfId="30" applyNumberFormat="1" applyFont="1" applyFill="1" applyBorder="1" applyAlignment="1" applyProtection="1">
      <alignment horizontal="center"/>
      <protection hidden="1"/>
    </xf>
    <xf numFmtId="0" fontId="50" fillId="19" borderId="17" xfId="0" applyFont="1" applyFill="1" applyBorder="1" applyAlignment="1" applyProtection="1">
      <alignment horizontal="left"/>
      <protection hidden="1"/>
    </xf>
    <xf numFmtId="0" fontId="50" fillId="19" borderId="0" xfId="0" applyFont="1" applyFill="1" applyAlignment="1" applyProtection="1">
      <alignment horizontal="left"/>
      <protection hidden="1"/>
    </xf>
    <xf numFmtId="165" fontId="75" fillId="19" borderId="0" xfId="2" applyFont="1" applyFill="1" applyBorder="1" applyProtection="1">
      <protection hidden="1"/>
    </xf>
    <xf numFmtId="10" fontId="75" fillId="19" borderId="0" xfId="30" applyNumberFormat="1" applyFont="1" applyFill="1" applyBorder="1" applyProtection="1">
      <protection hidden="1"/>
    </xf>
    <xf numFmtId="0" fontId="75" fillId="19" borderId="17" xfId="0" applyFont="1" applyFill="1" applyBorder="1" applyAlignment="1" applyProtection="1">
      <alignment horizontal="left"/>
      <protection hidden="1"/>
    </xf>
    <xf numFmtId="0" fontId="75" fillId="19" borderId="0" xfId="0" applyFont="1" applyFill="1" applyAlignment="1" applyProtection="1">
      <alignment horizontal="right"/>
      <protection hidden="1"/>
    </xf>
    <xf numFmtId="165" fontId="75" fillId="19" borderId="0" xfId="3" applyFont="1" applyFill="1" applyBorder="1" applyAlignment="1" applyProtection="1">
      <alignment horizontal="center"/>
      <protection hidden="1"/>
    </xf>
    <xf numFmtId="165" fontId="50" fillId="19" borderId="0" xfId="2" applyFont="1" applyFill="1" applyBorder="1" applyAlignment="1" applyProtection="1">
      <alignment horizontal="center"/>
      <protection hidden="1"/>
    </xf>
    <xf numFmtId="10" fontId="50" fillId="19" borderId="0" xfId="30" applyNumberFormat="1" applyFont="1" applyFill="1" applyBorder="1" applyAlignment="1" applyProtection="1">
      <alignment horizontal="right"/>
      <protection hidden="1"/>
    </xf>
    <xf numFmtId="165" fontId="75" fillId="19" borderId="23" xfId="2" applyFont="1" applyFill="1" applyBorder="1" applyAlignment="1" applyProtection="1">
      <alignment horizontal="center"/>
      <protection hidden="1"/>
    </xf>
    <xf numFmtId="10" fontId="75" fillId="19" borderId="23" xfId="30" applyNumberFormat="1" applyFont="1" applyFill="1" applyBorder="1" applyAlignment="1" applyProtection="1">
      <alignment horizontal="right"/>
      <protection hidden="1"/>
    </xf>
    <xf numFmtId="165" fontId="50" fillId="0" borderId="1" xfId="2" applyFont="1" applyBorder="1" applyProtection="1">
      <protection hidden="1"/>
    </xf>
    <xf numFmtId="44" fontId="50" fillId="0" borderId="1" xfId="2" applyNumberFormat="1" applyFont="1" applyBorder="1" applyProtection="1">
      <protection hidden="1"/>
    </xf>
    <xf numFmtId="9" fontId="50" fillId="0" borderId="11" xfId="30" applyFont="1" applyBorder="1" applyProtection="1">
      <protection hidden="1"/>
    </xf>
    <xf numFmtId="0" fontId="60" fillId="18" borderId="21" xfId="30" applyNumberFormat="1" applyFont="1" applyFill="1" applyBorder="1" applyProtection="1">
      <protection hidden="1"/>
    </xf>
    <xf numFmtId="0" fontId="50" fillId="9" borderId="0" xfId="0" applyFont="1" applyFill="1" applyAlignment="1" applyProtection="1">
      <alignment horizontal="right"/>
      <protection hidden="1"/>
    </xf>
    <xf numFmtId="165" fontId="50" fillId="20" borderId="1" xfId="2" applyFont="1" applyFill="1" applyBorder="1" applyAlignment="1" applyProtection="1">
      <alignment horizontal="center"/>
      <protection hidden="1"/>
    </xf>
    <xf numFmtId="10" fontId="50" fillId="20" borderId="0" xfId="0" applyNumberFormat="1" applyFont="1" applyFill="1" applyProtection="1">
      <protection hidden="1"/>
    </xf>
    <xf numFmtId="10" fontId="50" fillId="20" borderId="23" xfId="0" applyNumberFormat="1" applyFont="1" applyFill="1" applyBorder="1" applyProtection="1">
      <protection hidden="1"/>
    </xf>
    <xf numFmtId="176" fontId="60" fillId="18" borderId="16" xfId="30" applyNumberFormat="1" applyFont="1" applyFill="1" applyBorder="1" applyProtection="1">
      <protection hidden="1"/>
    </xf>
    <xf numFmtId="10" fontId="50" fillId="9" borderId="1" xfId="0" applyNumberFormat="1" applyFont="1" applyFill="1" applyBorder="1" applyProtection="1">
      <protection hidden="1"/>
    </xf>
    <xf numFmtId="165" fontId="45" fillId="9" borderId="0" xfId="2" applyFont="1" applyFill="1" applyProtection="1">
      <protection hidden="1"/>
    </xf>
    <xf numFmtId="165" fontId="76" fillId="18" borderId="1" xfId="2" applyFont="1" applyFill="1" applyBorder="1" applyProtection="1">
      <protection hidden="1"/>
    </xf>
    <xf numFmtId="0" fontId="60" fillId="0" borderId="0" xfId="0" applyFont="1" applyProtection="1">
      <protection hidden="1"/>
    </xf>
    <xf numFmtId="165" fontId="0" fillId="0" borderId="0" xfId="0" applyNumberFormat="1" applyProtection="1">
      <protection hidden="1"/>
    </xf>
    <xf numFmtId="0" fontId="6" fillId="0" borderId="0" xfId="0" applyFont="1" applyProtection="1">
      <protection hidden="1"/>
    </xf>
    <xf numFmtId="0" fontId="77" fillId="5" borderId="6" xfId="0" applyFont="1" applyFill="1" applyBorder="1" applyAlignment="1" applyProtection="1">
      <alignment horizontal="center" vertical="center" wrapText="1"/>
      <protection hidden="1"/>
    </xf>
    <xf numFmtId="0" fontId="56" fillId="5" borderId="24" xfId="0" applyFont="1" applyFill="1" applyBorder="1" applyAlignment="1" applyProtection="1">
      <alignment horizontal="center" vertical="center" wrapText="1"/>
      <protection hidden="1"/>
    </xf>
    <xf numFmtId="0" fontId="56" fillId="5" borderId="6" xfId="0" applyFont="1" applyFill="1" applyBorder="1" applyAlignment="1" applyProtection="1">
      <alignment horizontal="center" vertical="center" wrapText="1"/>
      <protection hidden="1"/>
    </xf>
    <xf numFmtId="0" fontId="55" fillId="7" borderId="6" xfId="0" applyFont="1" applyFill="1" applyBorder="1" applyAlignment="1" applyProtection="1">
      <alignment horizontal="center" vertical="center" wrapText="1"/>
      <protection hidden="1"/>
    </xf>
    <xf numFmtId="0" fontId="76" fillId="5" borderId="24" xfId="0" applyFont="1" applyFill="1" applyBorder="1" applyAlignment="1" applyProtection="1">
      <alignment vertical="top" wrapText="1"/>
      <protection hidden="1"/>
    </xf>
    <xf numFmtId="0" fontId="76" fillId="5" borderId="25" xfId="0" applyFont="1" applyFill="1" applyBorder="1" applyAlignment="1" applyProtection="1">
      <alignment vertical="top" wrapText="1"/>
      <protection hidden="1"/>
    </xf>
    <xf numFmtId="0" fontId="78" fillId="0" borderId="0" xfId="0" applyFont="1" applyProtection="1">
      <protection hidden="1"/>
    </xf>
    <xf numFmtId="0" fontId="55" fillId="7" borderId="16" xfId="0" applyFont="1" applyFill="1" applyBorder="1" applyAlignment="1" applyProtection="1">
      <alignment horizontal="center" vertical="center" wrapText="1"/>
      <protection hidden="1"/>
    </xf>
    <xf numFmtId="0" fontId="79" fillId="5" borderId="1" xfId="0" applyFont="1" applyFill="1" applyBorder="1" applyAlignment="1" applyProtection="1">
      <alignment horizontal="center" vertical="center" wrapText="1"/>
      <protection hidden="1"/>
    </xf>
    <xf numFmtId="0" fontId="55" fillId="7" borderId="1" xfId="0" applyFont="1" applyFill="1" applyBorder="1" applyAlignment="1" applyProtection="1">
      <alignment horizontal="center" vertical="center" wrapText="1"/>
      <protection hidden="1"/>
    </xf>
    <xf numFmtId="0" fontId="59" fillId="0" borderId="0" xfId="0" applyFont="1" applyAlignment="1" applyProtection="1">
      <alignment horizontal="left" vertical="center"/>
      <protection hidden="1"/>
    </xf>
    <xf numFmtId="167" fontId="67" fillId="4" borderId="11" xfId="16" applyNumberFormat="1" applyFont="1" applyFill="1" applyBorder="1" applyAlignment="1" applyProtection="1">
      <alignment horizontal="center"/>
      <protection hidden="1"/>
    </xf>
    <xf numFmtId="0" fontId="67" fillId="4" borderId="11" xfId="16" applyFont="1" applyFill="1" applyBorder="1" applyAlignment="1" applyProtection="1">
      <alignment horizontal="center"/>
      <protection hidden="1"/>
    </xf>
    <xf numFmtId="169" fontId="46" fillId="8" borderId="1" xfId="56" applyNumberFormat="1" applyFont="1" applyFill="1" applyBorder="1" applyAlignment="1" applyProtection="1">
      <alignment horizontal="right" vertical="center"/>
      <protection hidden="1"/>
    </xf>
    <xf numFmtId="3" fontId="67" fillId="4" borderId="11" xfId="16" applyNumberFormat="1" applyFont="1" applyFill="1" applyBorder="1" applyAlignment="1" applyProtection="1">
      <alignment horizontal="center"/>
      <protection hidden="1"/>
    </xf>
    <xf numFmtId="167" fontId="46" fillId="3" borderId="1" xfId="56" applyNumberFormat="1" applyFont="1" applyFill="1" applyBorder="1" applyAlignment="1" applyProtection="1">
      <alignment horizontal="center" vertical="center"/>
      <protection locked="0"/>
    </xf>
    <xf numFmtId="169" fontId="46" fillId="3" borderId="1" xfId="56" applyNumberFormat="1" applyFont="1" applyFill="1" applyBorder="1" applyAlignment="1" applyProtection="1">
      <alignment horizontal="center" vertical="center"/>
      <protection locked="0"/>
    </xf>
    <xf numFmtId="9" fontId="55" fillId="7" borderId="1" xfId="18" applyNumberFormat="1" applyFont="1" applyFill="1" applyBorder="1" applyAlignment="1" applyProtection="1">
      <alignment horizontal="center" vertical="center" wrapText="1"/>
      <protection locked="0"/>
    </xf>
    <xf numFmtId="0" fontId="80" fillId="5" borderId="1" xfId="0" applyFont="1" applyFill="1" applyBorder="1" applyAlignment="1" applyProtection="1">
      <alignment horizontal="center" vertical="center" wrapText="1"/>
      <protection hidden="1"/>
    </xf>
    <xf numFmtId="0" fontId="67" fillId="0" borderId="0" xfId="16" applyFont="1" applyAlignment="1" applyProtection="1">
      <alignment horizontal="left"/>
      <protection hidden="1"/>
    </xf>
    <xf numFmtId="167" fontId="46" fillId="0" borderId="0" xfId="56" applyNumberFormat="1" applyFont="1" applyFill="1" applyBorder="1" applyAlignment="1" applyProtection="1">
      <alignment horizontal="center" vertical="center"/>
      <protection hidden="1"/>
    </xf>
    <xf numFmtId="9" fontId="46" fillId="0" borderId="0" xfId="30" applyFont="1" applyFill="1" applyBorder="1" applyAlignment="1" applyProtection="1">
      <alignment horizontal="center" vertical="center"/>
      <protection hidden="1"/>
    </xf>
    <xf numFmtId="0" fontId="64" fillId="0" borderId="0" xfId="0" applyFont="1" applyAlignment="1" applyProtection="1">
      <alignment horizontal="left" vertical="center" textRotation="90"/>
      <protection hidden="1"/>
    </xf>
    <xf numFmtId="0" fontId="53" fillId="3" borderId="1" xfId="0" applyFont="1" applyFill="1" applyBorder="1" applyProtection="1">
      <protection hidden="1"/>
    </xf>
    <xf numFmtId="0" fontId="53" fillId="3" borderId="1" xfId="0" quotePrefix="1" applyFont="1" applyFill="1" applyBorder="1" applyAlignment="1" applyProtection="1">
      <alignment horizontal="center"/>
      <protection hidden="1"/>
    </xf>
    <xf numFmtId="0" fontId="53" fillId="3" borderId="1" xfId="0" applyFont="1" applyFill="1" applyBorder="1" applyAlignment="1" applyProtection="1">
      <alignment horizontal="left"/>
      <protection hidden="1"/>
    </xf>
    <xf numFmtId="178" fontId="51" fillId="0" borderId="0" xfId="0" applyNumberFormat="1" applyFont="1" applyProtection="1">
      <protection hidden="1"/>
    </xf>
    <xf numFmtId="0" fontId="48" fillId="21" borderId="10" xfId="16" applyFont="1" applyFill="1" applyBorder="1" applyAlignment="1" applyProtection="1">
      <alignment horizontal="center" vertical="center"/>
      <protection hidden="1"/>
    </xf>
    <xf numFmtId="0" fontId="48" fillId="21" borderId="26" xfId="16" applyFont="1" applyFill="1" applyBorder="1" applyAlignment="1" applyProtection="1">
      <alignment horizontal="center" vertical="center"/>
      <protection hidden="1"/>
    </xf>
    <xf numFmtId="167" fontId="46" fillId="21" borderId="27" xfId="56" applyNumberFormat="1" applyFont="1" applyFill="1" applyBorder="1" applyAlignment="1" applyProtection="1">
      <alignment horizontal="center" vertical="center"/>
      <protection hidden="1"/>
    </xf>
    <xf numFmtId="167" fontId="46" fillId="8" borderId="27" xfId="56" applyNumberFormat="1" applyFont="1" applyFill="1" applyBorder="1" applyAlignment="1" applyProtection="1">
      <alignment horizontal="center" vertical="center"/>
      <protection hidden="1"/>
    </xf>
    <xf numFmtId="167" fontId="46" fillId="8" borderId="28" xfId="56" applyNumberFormat="1" applyFont="1" applyFill="1" applyBorder="1" applyAlignment="1" applyProtection="1">
      <alignment horizontal="center" vertical="center"/>
      <protection hidden="1"/>
    </xf>
    <xf numFmtId="167" fontId="46" fillId="21" borderId="1" xfId="56" applyNumberFormat="1" applyFont="1" applyFill="1" applyBorder="1" applyAlignment="1" applyProtection="1">
      <alignment horizontal="center" vertical="center"/>
      <protection hidden="1"/>
    </xf>
    <xf numFmtId="167" fontId="46" fillId="8" borderId="1" xfId="56" applyNumberFormat="1" applyFont="1" applyFill="1" applyBorder="1" applyAlignment="1" applyProtection="1">
      <alignment horizontal="center" vertical="center"/>
      <protection hidden="1"/>
    </xf>
    <xf numFmtId="167" fontId="46" fillId="8" borderId="29" xfId="56" applyNumberFormat="1" applyFont="1" applyFill="1" applyBorder="1" applyAlignment="1" applyProtection="1">
      <alignment horizontal="center" vertical="center"/>
      <protection hidden="1"/>
    </xf>
    <xf numFmtId="167" fontId="46" fillId="21" borderId="30" xfId="56" applyNumberFormat="1" applyFont="1" applyFill="1" applyBorder="1" applyAlignment="1" applyProtection="1">
      <alignment horizontal="center" vertical="center"/>
      <protection hidden="1"/>
    </xf>
    <xf numFmtId="167" fontId="46" fillId="8" borderId="30" xfId="56" applyNumberFormat="1" applyFont="1" applyFill="1" applyBorder="1" applyAlignment="1" applyProtection="1">
      <alignment horizontal="center" vertical="center"/>
      <protection hidden="1"/>
    </xf>
    <xf numFmtId="167" fontId="46" fillId="8" borderId="31" xfId="56" applyNumberFormat="1" applyFont="1" applyFill="1" applyBorder="1" applyAlignment="1" applyProtection="1">
      <alignment horizontal="center" vertical="center"/>
      <protection hidden="1"/>
    </xf>
    <xf numFmtId="167" fontId="46" fillId="21" borderId="10" xfId="56" applyNumberFormat="1" applyFont="1" applyFill="1" applyBorder="1" applyAlignment="1" applyProtection="1">
      <alignment horizontal="center" vertical="center"/>
      <protection hidden="1"/>
    </xf>
    <xf numFmtId="167" fontId="46" fillId="8" borderId="10" xfId="56" applyNumberFormat="1" applyFont="1" applyFill="1" applyBorder="1" applyAlignment="1" applyProtection="1">
      <alignment horizontal="center" vertical="center"/>
      <protection hidden="1"/>
    </xf>
    <xf numFmtId="167" fontId="46" fillId="8" borderId="26" xfId="56" applyNumberFormat="1" applyFont="1" applyFill="1" applyBorder="1" applyAlignment="1" applyProtection="1">
      <alignment horizontal="center" vertical="center"/>
      <protection hidden="1"/>
    </xf>
    <xf numFmtId="167" fontId="46" fillId="21" borderId="16" xfId="56" applyNumberFormat="1" applyFont="1" applyFill="1" applyBorder="1" applyAlignment="1" applyProtection="1">
      <alignment horizontal="center" vertical="center"/>
      <protection hidden="1"/>
    </xf>
    <xf numFmtId="167" fontId="46" fillId="8" borderId="16" xfId="56" applyNumberFormat="1" applyFont="1" applyFill="1" applyBorder="1" applyAlignment="1" applyProtection="1">
      <alignment horizontal="center" vertical="center"/>
      <protection hidden="1"/>
    </xf>
    <xf numFmtId="167" fontId="46" fillId="8" borderId="32" xfId="56" applyNumberFormat="1" applyFont="1" applyFill="1" applyBorder="1" applyAlignment="1" applyProtection="1">
      <alignment horizontal="center" vertical="center"/>
      <protection hidden="1"/>
    </xf>
    <xf numFmtId="0" fontId="48" fillId="11" borderId="10" xfId="16" applyFont="1" applyFill="1" applyBorder="1" applyAlignment="1" applyProtection="1">
      <alignment horizontal="center" vertical="center"/>
      <protection hidden="1"/>
    </xf>
    <xf numFmtId="167" fontId="46" fillId="22" borderId="27" xfId="56" applyNumberFormat="1" applyFont="1" applyFill="1" applyBorder="1" applyAlignment="1" applyProtection="1">
      <alignment horizontal="center" vertical="center"/>
      <protection hidden="1"/>
    </xf>
    <xf numFmtId="180" fontId="46" fillId="8" borderId="27" xfId="56" applyNumberFormat="1" applyFont="1" applyFill="1" applyBorder="1" applyAlignment="1" applyProtection="1">
      <alignment horizontal="center" vertical="center"/>
      <protection hidden="1"/>
    </xf>
    <xf numFmtId="178" fontId="51" fillId="4" borderId="28" xfId="0" applyNumberFormat="1" applyFont="1" applyFill="1" applyBorder="1" applyAlignment="1" applyProtection="1">
      <alignment horizontal="center"/>
      <protection hidden="1"/>
    </xf>
    <xf numFmtId="167" fontId="46" fillId="22" borderId="1" xfId="56" applyNumberFormat="1" applyFont="1" applyFill="1" applyBorder="1" applyAlignment="1" applyProtection="1">
      <alignment horizontal="center" vertical="center"/>
      <protection hidden="1"/>
    </xf>
    <xf numFmtId="180" fontId="46" fillId="8" borderId="1" xfId="56" applyNumberFormat="1" applyFont="1" applyFill="1" applyBorder="1" applyAlignment="1" applyProtection="1">
      <alignment horizontal="center" vertical="center"/>
      <protection hidden="1"/>
    </xf>
    <xf numFmtId="178" fontId="51" fillId="4" borderId="29" xfId="0" applyNumberFormat="1" applyFont="1" applyFill="1" applyBorder="1" applyAlignment="1" applyProtection="1">
      <alignment horizontal="center"/>
      <protection hidden="1"/>
    </xf>
    <xf numFmtId="167" fontId="46" fillId="22" borderId="30" xfId="56" applyNumberFormat="1" applyFont="1" applyFill="1" applyBorder="1" applyAlignment="1" applyProtection="1">
      <alignment horizontal="center" vertical="center"/>
      <protection hidden="1"/>
    </xf>
    <xf numFmtId="180" fontId="46" fillId="8" borderId="30" xfId="56" applyNumberFormat="1" applyFont="1" applyFill="1" applyBorder="1" applyAlignment="1" applyProtection="1">
      <alignment horizontal="center" vertical="center"/>
      <protection hidden="1"/>
    </xf>
    <xf numFmtId="178" fontId="51" fillId="4" borderId="31" xfId="0" applyNumberFormat="1" applyFont="1" applyFill="1" applyBorder="1" applyAlignment="1" applyProtection="1">
      <alignment horizontal="center"/>
      <protection hidden="1"/>
    </xf>
    <xf numFmtId="178" fontId="51" fillId="4" borderId="32" xfId="0" applyNumberFormat="1" applyFont="1" applyFill="1" applyBorder="1" applyAlignment="1" applyProtection="1">
      <alignment horizontal="center"/>
      <protection hidden="1"/>
    </xf>
    <xf numFmtId="178" fontId="51" fillId="4" borderId="33" xfId="0" applyNumberFormat="1" applyFont="1" applyFill="1" applyBorder="1" applyAlignment="1" applyProtection="1">
      <alignment horizontal="center"/>
      <protection hidden="1"/>
    </xf>
    <xf numFmtId="0" fontId="48" fillId="11" borderId="29" xfId="16" applyFont="1" applyFill="1" applyBorder="1" applyAlignment="1" applyProtection="1">
      <alignment horizontal="center" vertical="center"/>
      <protection hidden="1"/>
    </xf>
    <xf numFmtId="167" fontId="46" fillId="22" borderId="16" xfId="56" applyNumberFormat="1" applyFont="1" applyFill="1" applyBorder="1" applyAlignment="1" applyProtection="1">
      <alignment horizontal="center" vertical="center"/>
      <protection hidden="1"/>
    </xf>
    <xf numFmtId="169" fontId="46" fillId="8" borderId="1" xfId="56" applyNumberFormat="1" applyFont="1" applyFill="1" applyBorder="1" applyAlignment="1" applyProtection="1">
      <alignment horizontal="center" vertical="center"/>
      <protection hidden="1"/>
    </xf>
    <xf numFmtId="178" fontId="51" fillId="0" borderId="0" xfId="0" applyNumberFormat="1" applyFont="1" applyAlignment="1" applyProtection="1">
      <alignment horizontal="center"/>
      <protection hidden="1"/>
    </xf>
    <xf numFmtId="7" fontId="71" fillId="8" borderId="34" xfId="56" applyNumberFormat="1" applyFont="1" applyFill="1" applyBorder="1" applyAlignment="1" applyProtection="1">
      <alignment horizontal="center" vertical="center"/>
      <protection hidden="1"/>
    </xf>
    <xf numFmtId="167" fontId="46" fillId="13" borderId="1" xfId="56" applyNumberFormat="1" applyFont="1" applyFill="1" applyBorder="1" applyAlignment="1" applyProtection="1">
      <alignment horizontal="center" vertical="center"/>
      <protection locked="0"/>
    </xf>
    <xf numFmtId="9" fontId="46" fillId="13" borderId="11" xfId="30" applyFont="1" applyFill="1" applyBorder="1" applyAlignment="1" applyProtection="1">
      <alignment horizontal="center" vertical="center"/>
      <protection locked="0"/>
    </xf>
    <xf numFmtId="0" fontId="55" fillId="7" borderId="1" xfId="0" applyFont="1" applyFill="1" applyBorder="1" applyAlignment="1" applyProtection="1">
      <alignment horizontal="center" vertical="center" wrapText="1"/>
      <protection locked="0"/>
    </xf>
    <xf numFmtId="10" fontId="55" fillId="7" borderId="1" xfId="30" applyNumberFormat="1" applyFont="1" applyFill="1" applyBorder="1" applyAlignment="1" applyProtection="1">
      <alignment horizontal="center" vertical="center" wrapText="1"/>
      <protection locked="0"/>
    </xf>
    <xf numFmtId="0" fontId="51" fillId="0" borderId="1" xfId="0" applyFont="1" applyBorder="1" applyAlignment="1" applyProtection="1">
      <alignment horizontal="center"/>
      <protection locked="0"/>
    </xf>
    <xf numFmtId="9" fontId="51" fillId="0" borderId="1" xfId="0" applyNumberFormat="1" applyFont="1" applyBorder="1" applyAlignment="1" applyProtection="1">
      <alignment horizontal="center"/>
      <protection locked="0"/>
    </xf>
    <xf numFmtId="0" fontId="51" fillId="8" borderId="1" xfId="0" applyFont="1" applyFill="1" applyBorder="1" applyAlignment="1" applyProtection="1">
      <alignment horizontal="left"/>
      <protection hidden="1"/>
    </xf>
    <xf numFmtId="179" fontId="51" fillId="0" borderId="0" xfId="30" applyNumberFormat="1" applyFont="1" applyProtection="1">
      <protection hidden="1"/>
    </xf>
    <xf numFmtId="179" fontId="51" fillId="0" borderId="0" xfId="30" applyNumberFormat="1" applyFont="1" applyFill="1" applyProtection="1">
      <protection hidden="1"/>
    </xf>
    <xf numFmtId="167" fontId="46" fillId="8" borderId="35" xfId="56" applyNumberFormat="1" applyFont="1" applyFill="1" applyBorder="1" applyAlignment="1" applyProtection="1">
      <alignment horizontal="center" vertical="center"/>
      <protection hidden="1"/>
    </xf>
    <xf numFmtId="167" fontId="46" fillId="8" borderId="11" xfId="56" applyNumberFormat="1" applyFont="1" applyFill="1" applyBorder="1" applyAlignment="1" applyProtection="1">
      <alignment horizontal="center" vertical="center"/>
      <protection hidden="1"/>
    </xf>
    <xf numFmtId="179" fontId="51" fillId="0" borderId="0" xfId="0" applyNumberFormat="1" applyFont="1" applyProtection="1">
      <protection hidden="1"/>
    </xf>
    <xf numFmtId="167" fontId="46" fillId="8" borderId="36" xfId="56" applyNumberFormat="1" applyFont="1" applyFill="1" applyBorder="1" applyAlignment="1" applyProtection="1">
      <alignment horizontal="center" vertical="center"/>
      <protection hidden="1"/>
    </xf>
    <xf numFmtId="175" fontId="46" fillId="23" borderId="27" xfId="56" applyNumberFormat="1" applyFont="1" applyFill="1" applyBorder="1" applyAlignment="1" applyProtection="1">
      <alignment horizontal="center" vertical="center"/>
      <protection hidden="1"/>
    </xf>
    <xf numFmtId="175" fontId="46" fillId="23" borderId="28" xfId="56" applyNumberFormat="1" applyFont="1" applyFill="1" applyBorder="1" applyAlignment="1" applyProtection="1">
      <alignment horizontal="center" vertical="center"/>
      <protection hidden="1"/>
    </xf>
    <xf numFmtId="175" fontId="46" fillId="23" borderId="1" xfId="56" applyNumberFormat="1" applyFont="1" applyFill="1" applyBorder="1" applyAlignment="1" applyProtection="1">
      <alignment horizontal="center" vertical="center"/>
      <protection hidden="1"/>
    </xf>
    <xf numFmtId="175" fontId="46" fillId="23" borderId="29" xfId="56" applyNumberFormat="1" applyFont="1" applyFill="1" applyBorder="1" applyAlignment="1" applyProtection="1">
      <alignment horizontal="center" vertical="center"/>
      <protection hidden="1"/>
    </xf>
    <xf numFmtId="175" fontId="46" fillId="23" borderId="30" xfId="56" applyNumberFormat="1" applyFont="1" applyFill="1" applyBorder="1" applyAlignment="1" applyProtection="1">
      <alignment horizontal="center" vertical="center"/>
      <protection hidden="1"/>
    </xf>
    <xf numFmtId="175" fontId="46" fillId="23" borderId="31" xfId="56" applyNumberFormat="1" applyFont="1" applyFill="1" applyBorder="1" applyAlignment="1" applyProtection="1">
      <alignment horizontal="center" vertical="center"/>
      <protection hidden="1"/>
    </xf>
    <xf numFmtId="167" fontId="46" fillId="22" borderId="10" xfId="56" applyNumberFormat="1" applyFont="1" applyFill="1" applyBorder="1" applyAlignment="1" applyProtection="1">
      <alignment horizontal="center" vertical="center"/>
      <protection hidden="1"/>
    </xf>
    <xf numFmtId="175" fontId="46" fillId="23" borderId="10" xfId="56" applyNumberFormat="1" applyFont="1" applyFill="1" applyBorder="1" applyAlignment="1" applyProtection="1">
      <alignment horizontal="center" vertical="center"/>
      <protection hidden="1"/>
    </xf>
    <xf numFmtId="175" fontId="46" fillId="23" borderId="26" xfId="56" applyNumberFormat="1" applyFont="1" applyFill="1" applyBorder="1" applyAlignment="1" applyProtection="1">
      <alignment horizontal="center" vertical="center"/>
      <protection hidden="1"/>
    </xf>
    <xf numFmtId="175" fontId="46" fillId="23" borderId="16" xfId="56" applyNumberFormat="1" applyFont="1" applyFill="1" applyBorder="1" applyAlignment="1" applyProtection="1">
      <alignment horizontal="center" vertical="center"/>
      <protection hidden="1"/>
    </xf>
    <xf numFmtId="175" fontId="46" fillId="23" borderId="32" xfId="56" applyNumberFormat="1" applyFont="1" applyFill="1" applyBorder="1" applyAlignment="1" applyProtection="1">
      <alignment horizontal="center" vertical="center"/>
      <protection hidden="1"/>
    </xf>
    <xf numFmtId="167" fontId="46" fillId="22" borderId="35" xfId="56" applyNumberFormat="1" applyFont="1" applyFill="1" applyBorder="1" applyAlignment="1" applyProtection="1">
      <alignment horizontal="center" vertical="center"/>
      <protection hidden="1"/>
    </xf>
    <xf numFmtId="167" fontId="46" fillId="22" borderId="11" xfId="56" applyNumberFormat="1" applyFont="1" applyFill="1" applyBorder="1" applyAlignment="1" applyProtection="1">
      <alignment horizontal="center" vertical="center"/>
      <protection hidden="1"/>
    </xf>
    <xf numFmtId="167" fontId="46" fillId="22" borderId="19" xfId="56" applyNumberFormat="1" applyFont="1" applyFill="1" applyBorder="1" applyAlignment="1" applyProtection="1">
      <alignment horizontal="center" vertical="center"/>
      <protection hidden="1"/>
    </xf>
    <xf numFmtId="167" fontId="46" fillId="22" borderId="37" xfId="56" applyNumberFormat="1" applyFont="1" applyFill="1" applyBorder="1" applyAlignment="1" applyProtection="1">
      <alignment horizontal="center" vertical="center"/>
      <protection hidden="1"/>
    </xf>
    <xf numFmtId="0" fontId="56" fillId="16" borderId="11" xfId="0" applyFont="1" applyFill="1" applyBorder="1" applyAlignment="1" applyProtection="1">
      <alignment horizontal="center" vertical="center" wrapText="1"/>
      <protection hidden="1"/>
    </xf>
    <xf numFmtId="0" fontId="56" fillId="16" borderId="12" xfId="0" applyFont="1" applyFill="1" applyBorder="1" applyAlignment="1" applyProtection="1">
      <alignment horizontal="center" vertical="center" wrapText="1"/>
      <protection hidden="1"/>
    </xf>
    <xf numFmtId="0" fontId="81" fillId="16" borderId="12" xfId="0" applyFont="1" applyFill="1" applyBorder="1" applyAlignment="1" applyProtection="1">
      <alignment horizontal="center" vertical="center" wrapText="1"/>
      <protection hidden="1"/>
    </xf>
    <xf numFmtId="10" fontId="82" fillId="4" borderId="1" xfId="30" applyNumberFormat="1" applyFont="1" applyFill="1" applyBorder="1" applyAlignment="1" applyProtection="1">
      <alignment horizontal="left" vertical="center"/>
      <protection hidden="1"/>
    </xf>
    <xf numFmtId="0" fontId="83" fillId="16" borderId="12" xfId="0" applyFont="1" applyFill="1" applyBorder="1" applyAlignment="1" applyProtection="1">
      <alignment horizontal="center" vertical="center" wrapText="1"/>
      <protection hidden="1"/>
    </xf>
    <xf numFmtId="0" fontId="56" fillId="5" borderId="11" xfId="0" applyFont="1" applyFill="1" applyBorder="1" applyAlignment="1" applyProtection="1">
      <alignment horizontal="center" vertical="center" wrapText="1"/>
      <protection hidden="1"/>
    </xf>
    <xf numFmtId="0" fontId="56" fillId="5" borderId="12" xfId="0" applyFont="1" applyFill="1" applyBorder="1" applyAlignment="1" applyProtection="1">
      <alignment horizontal="center" vertical="center" wrapText="1"/>
      <protection hidden="1"/>
    </xf>
    <xf numFmtId="0" fontId="81" fillId="5" borderId="12" xfId="0" applyFont="1" applyFill="1" applyBorder="1" applyAlignment="1" applyProtection="1">
      <alignment horizontal="center" vertical="center" wrapText="1"/>
      <protection hidden="1"/>
    </xf>
    <xf numFmtId="0" fontId="83" fillId="5" borderId="12" xfId="0" applyFont="1" applyFill="1" applyBorder="1" applyAlignment="1" applyProtection="1">
      <alignment horizontal="center" vertical="center" wrapText="1"/>
      <protection hidden="1"/>
    </xf>
    <xf numFmtId="0" fontId="51" fillId="0" borderId="0" xfId="0" applyFont="1" applyAlignment="1" applyProtection="1">
      <alignment horizontal="right"/>
      <protection hidden="1"/>
    </xf>
    <xf numFmtId="0" fontId="48" fillId="11" borderId="1" xfId="0" applyFont="1" applyFill="1" applyBorder="1" applyAlignment="1" applyProtection="1">
      <alignment horizontal="center"/>
      <protection hidden="1"/>
    </xf>
    <xf numFmtId="7" fontId="52" fillId="8" borderId="1" xfId="0" applyNumberFormat="1" applyFont="1" applyFill="1" applyBorder="1" applyAlignment="1" applyProtection="1">
      <alignment horizontal="center"/>
      <protection hidden="1"/>
    </xf>
    <xf numFmtId="7" fontId="51" fillId="0" borderId="0" xfId="0" applyNumberFormat="1" applyFont="1" applyAlignment="1" applyProtection="1">
      <alignment horizontal="right"/>
      <protection hidden="1"/>
    </xf>
    <xf numFmtId="7" fontId="51" fillId="0" borderId="0" xfId="0" applyNumberFormat="1" applyFont="1" applyProtection="1">
      <protection hidden="1"/>
    </xf>
    <xf numFmtId="10" fontId="61" fillId="7" borderId="1" xfId="30" applyNumberFormat="1" applyFont="1" applyFill="1" applyBorder="1" applyAlignment="1" applyProtection="1">
      <alignment horizontal="center" vertical="center" wrapText="1"/>
      <protection locked="0"/>
    </xf>
    <xf numFmtId="0" fontId="48" fillId="16" borderId="1" xfId="0" applyFont="1" applyFill="1" applyBorder="1" applyProtection="1">
      <protection hidden="1"/>
    </xf>
    <xf numFmtId="0" fontId="52" fillId="4" borderId="1" xfId="0" applyFont="1" applyFill="1" applyBorder="1" applyProtection="1">
      <protection hidden="1"/>
    </xf>
    <xf numFmtId="0" fontId="48" fillId="5" borderId="11" xfId="0" applyFont="1" applyFill="1" applyBorder="1" applyProtection="1">
      <protection hidden="1"/>
    </xf>
    <xf numFmtId="9" fontId="52" fillId="7" borderId="1" xfId="30" applyFont="1" applyFill="1" applyBorder="1" applyAlignment="1" applyProtection="1">
      <alignment horizontal="center"/>
      <protection locked="0"/>
    </xf>
    <xf numFmtId="0" fontId="52" fillId="8" borderId="15" xfId="0" applyFont="1" applyFill="1" applyBorder="1" applyAlignment="1" applyProtection="1">
      <alignment horizontal="center" vertical="center"/>
      <protection hidden="1"/>
    </xf>
    <xf numFmtId="0" fontId="48" fillId="24" borderId="1" xfId="0" applyFont="1" applyFill="1" applyBorder="1" applyAlignment="1" applyProtection="1">
      <alignment horizontal="center"/>
      <protection hidden="1"/>
    </xf>
    <xf numFmtId="2" fontId="52" fillId="4" borderId="1" xfId="30" applyNumberFormat="1" applyFont="1" applyFill="1" applyBorder="1" applyAlignment="1" applyProtection="1">
      <alignment horizontal="center"/>
      <protection hidden="1"/>
    </xf>
    <xf numFmtId="0" fontId="84" fillId="0" borderId="0" xfId="0" applyFont="1" applyAlignment="1" applyProtection="1">
      <alignment vertical="center" wrapText="1"/>
      <protection hidden="1"/>
    </xf>
    <xf numFmtId="2" fontId="61" fillId="3" borderId="1" xfId="0" applyNumberFormat="1" applyFont="1" applyFill="1" applyBorder="1" applyAlignment="1" applyProtection="1">
      <alignment horizontal="center" vertical="center" wrapText="1"/>
      <protection hidden="1"/>
    </xf>
    <xf numFmtId="2" fontId="61" fillId="8" borderId="12" xfId="0" applyNumberFormat="1" applyFont="1" applyFill="1" applyBorder="1" applyAlignment="1" applyProtection="1">
      <alignment horizontal="center" vertical="center" wrapText="1"/>
      <protection hidden="1"/>
    </xf>
    <xf numFmtId="0" fontId="63" fillId="11" borderId="1" xfId="0" applyFont="1" applyFill="1" applyBorder="1" applyAlignment="1" applyProtection="1">
      <alignment horizontal="center"/>
      <protection hidden="1"/>
    </xf>
    <xf numFmtId="170" fontId="52" fillId="8" borderId="1" xfId="0" applyNumberFormat="1" applyFont="1" applyFill="1" applyBorder="1" applyAlignment="1" applyProtection="1">
      <alignment horizontal="center"/>
      <protection hidden="1"/>
    </xf>
    <xf numFmtId="0" fontId="48" fillId="5" borderId="1" xfId="0" applyFont="1" applyFill="1" applyBorder="1" applyAlignment="1" applyProtection="1">
      <alignment horizontal="center"/>
      <protection hidden="1"/>
    </xf>
    <xf numFmtId="176" fontId="52" fillId="3" borderId="1" xfId="30" applyNumberFormat="1" applyFont="1" applyFill="1" applyBorder="1" applyAlignment="1" applyProtection="1">
      <alignment horizontal="center"/>
      <protection locked="0"/>
    </xf>
    <xf numFmtId="4" fontId="46" fillId="3" borderId="1" xfId="23" applyNumberFormat="1" applyFill="1" applyBorder="1" applyAlignment="1" applyProtection="1">
      <alignment horizontal="center" vertical="center"/>
      <protection hidden="1"/>
    </xf>
    <xf numFmtId="0" fontId="17" fillId="0" borderId="0" xfId="0" applyFont="1" applyAlignment="1" applyProtection="1">
      <alignment horizontal="left" vertical="center"/>
      <protection hidden="1"/>
    </xf>
    <xf numFmtId="0" fontId="52" fillId="0" borderId="0" xfId="0" applyFont="1" applyAlignment="1" applyProtection="1">
      <alignment horizontal="right"/>
      <protection hidden="1"/>
    </xf>
    <xf numFmtId="39" fontId="47" fillId="25" borderId="1" xfId="56" applyNumberFormat="1" applyFont="1" applyFill="1" applyBorder="1" applyAlignment="1" applyProtection="1">
      <alignment horizontal="center" vertical="center"/>
      <protection hidden="1"/>
    </xf>
    <xf numFmtId="39" fontId="48" fillId="25" borderId="1" xfId="56" applyNumberFormat="1" applyFont="1" applyFill="1" applyBorder="1" applyAlignment="1" applyProtection="1">
      <alignment horizontal="center" vertical="center"/>
      <protection hidden="1"/>
    </xf>
    <xf numFmtId="10" fontId="46" fillId="3" borderId="1" xfId="30" applyNumberFormat="1" applyFont="1" applyFill="1" applyBorder="1" applyAlignment="1" applyProtection="1">
      <alignment horizontal="center" vertical="center"/>
      <protection hidden="1"/>
    </xf>
    <xf numFmtId="0" fontId="2" fillId="0" borderId="0" xfId="18" applyProtection="1">
      <protection hidden="1"/>
    </xf>
    <xf numFmtId="0" fontId="53" fillId="0" borderId="0" xfId="18" applyFont="1" applyAlignment="1" applyProtection="1">
      <alignment horizontal="right"/>
      <protection hidden="1"/>
    </xf>
    <xf numFmtId="0" fontId="2" fillId="0" borderId="0" xfId="18" applyAlignment="1" applyProtection="1">
      <alignment horizontal="right"/>
      <protection hidden="1"/>
    </xf>
    <xf numFmtId="0" fontId="53" fillId="0" borderId="0" xfId="18" applyFont="1" applyProtection="1">
      <protection hidden="1"/>
    </xf>
    <xf numFmtId="0" fontId="85" fillId="0" borderId="0" xfId="18" applyFont="1" applyProtection="1">
      <protection hidden="1"/>
    </xf>
    <xf numFmtId="0" fontId="72" fillId="0" borderId="0" xfId="18" applyFont="1" applyProtection="1">
      <protection hidden="1"/>
    </xf>
    <xf numFmtId="0" fontId="60" fillId="0" borderId="0" xfId="18" applyFont="1" applyProtection="1">
      <protection hidden="1"/>
    </xf>
    <xf numFmtId="0" fontId="51" fillId="0" borderId="7" xfId="18" applyFont="1" applyBorder="1" applyProtection="1">
      <protection hidden="1"/>
    </xf>
    <xf numFmtId="0" fontId="52" fillId="0" borderId="9" xfId="18" applyFont="1" applyBorder="1" applyAlignment="1" applyProtection="1">
      <alignment horizontal="center"/>
      <protection hidden="1"/>
    </xf>
    <xf numFmtId="0" fontId="49" fillId="0" borderId="9" xfId="18" applyFont="1" applyBorder="1" applyAlignment="1" applyProtection="1">
      <alignment horizontal="center"/>
      <protection hidden="1"/>
    </xf>
    <xf numFmtId="0" fontId="46" fillId="0" borderId="8" xfId="18" applyFont="1" applyBorder="1" applyProtection="1">
      <protection hidden="1"/>
    </xf>
    <xf numFmtId="9" fontId="2" fillId="0" borderId="0" xfId="18" applyNumberFormat="1" applyProtection="1">
      <protection hidden="1"/>
    </xf>
    <xf numFmtId="0" fontId="51" fillId="0" borderId="2" xfId="18" applyFont="1" applyBorder="1" applyProtection="1">
      <protection hidden="1"/>
    </xf>
    <xf numFmtId="0" fontId="67" fillId="0" borderId="0" xfId="18" applyFont="1" applyAlignment="1" applyProtection="1">
      <alignment vertical="center"/>
      <protection hidden="1"/>
    </xf>
    <xf numFmtId="0" fontId="46" fillId="0" borderId="3" xfId="18" applyFont="1" applyBorder="1" applyProtection="1">
      <protection hidden="1"/>
    </xf>
    <xf numFmtId="0" fontId="60" fillId="0" borderId="0" xfId="18" applyFont="1" applyAlignment="1" applyProtection="1">
      <alignment horizontal="center"/>
      <protection hidden="1"/>
    </xf>
    <xf numFmtId="177" fontId="60" fillId="0" borderId="0" xfId="18" applyNumberFormat="1" applyFont="1" applyProtection="1">
      <protection hidden="1"/>
    </xf>
    <xf numFmtId="0" fontId="51" fillId="0" borderId="4" xfId="18" applyFont="1" applyBorder="1" applyProtection="1">
      <protection hidden="1"/>
    </xf>
    <xf numFmtId="0" fontId="51" fillId="0" borderId="5" xfId="18" applyFont="1" applyBorder="1" applyProtection="1">
      <protection hidden="1"/>
    </xf>
    <xf numFmtId="0" fontId="46" fillId="0" borderId="5" xfId="18" applyFont="1" applyBorder="1" applyProtection="1">
      <protection hidden="1"/>
    </xf>
    <xf numFmtId="0" fontId="46" fillId="0" borderId="6" xfId="18" applyFont="1" applyBorder="1" applyProtection="1">
      <protection hidden="1"/>
    </xf>
    <xf numFmtId="0" fontId="21" fillId="0" borderId="7" xfId="18" applyFont="1" applyBorder="1" applyAlignment="1" applyProtection="1">
      <alignment horizontal="center"/>
      <protection hidden="1"/>
    </xf>
    <xf numFmtId="0" fontId="21" fillId="0" borderId="9" xfId="18" applyFont="1" applyBorder="1" applyAlignment="1" applyProtection="1">
      <alignment horizontal="center"/>
      <protection hidden="1"/>
    </xf>
    <xf numFmtId="0" fontId="21" fillId="0" borderId="8" xfId="18" applyFont="1" applyBorder="1" applyAlignment="1" applyProtection="1">
      <alignment horizontal="center"/>
      <protection hidden="1"/>
    </xf>
    <xf numFmtId="10" fontId="22" fillId="0" borderId="2" xfId="36" applyNumberFormat="1" applyFont="1" applyBorder="1" applyAlignment="1" applyProtection="1">
      <alignment horizontal="center" vertical="center"/>
      <protection hidden="1"/>
    </xf>
    <xf numFmtId="10" fontId="22" fillId="0" borderId="0" xfId="36" applyNumberFormat="1" applyFont="1" applyBorder="1" applyAlignment="1" applyProtection="1">
      <alignment horizontal="center" vertical="center"/>
      <protection hidden="1"/>
    </xf>
    <xf numFmtId="10" fontId="22" fillId="0" borderId="3" xfId="36" applyNumberFormat="1" applyFont="1" applyBorder="1" applyAlignment="1" applyProtection="1">
      <alignment horizontal="center" vertical="center"/>
      <protection hidden="1"/>
    </xf>
    <xf numFmtId="0" fontId="48" fillId="5" borderId="1" xfId="18" applyFont="1" applyFill="1" applyBorder="1" applyAlignment="1" applyProtection="1">
      <alignment horizontal="center"/>
      <protection hidden="1"/>
    </xf>
    <xf numFmtId="0" fontId="48" fillId="11" borderId="1" xfId="18" applyFont="1" applyFill="1" applyBorder="1" applyAlignment="1" applyProtection="1">
      <alignment horizontal="center"/>
      <protection hidden="1"/>
    </xf>
    <xf numFmtId="186" fontId="49" fillId="4" borderId="1" xfId="56" applyNumberFormat="1" applyFont="1" applyFill="1" applyBorder="1" applyAlignment="1" applyProtection="1">
      <alignment horizontal="center" vertical="center"/>
      <protection hidden="1"/>
    </xf>
    <xf numFmtId="10" fontId="52" fillId="3" borderId="1" xfId="43" applyNumberFormat="1" applyFont="1" applyFill="1" applyBorder="1" applyAlignment="1" applyProtection="1">
      <alignment horizontal="center"/>
      <protection locked="0"/>
    </xf>
    <xf numFmtId="0" fontId="60" fillId="0" borderId="0" xfId="18" applyFont="1" applyProtection="1">
      <protection locked="0" hidden="1"/>
    </xf>
    <xf numFmtId="0" fontId="60" fillId="0" borderId="0" xfId="18" applyFont="1" applyAlignment="1" applyProtection="1">
      <alignment horizontal="center"/>
      <protection locked="0" hidden="1"/>
    </xf>
    <xf numFmtId="9" fontId="60" fillId="0" borderId="0" xfId="18" applyNumberFormat="1" applyFont="1" applyAlignment="1" applyProtection="1">
      <alignment horizontal="center"/>
      <protection locked="0" hidden="1"/>
    </xf>
    <xf numFmtId="10" fontId="47" fillId="0" borderId="0" xfId="30" applyNumberFormat="1" applyFont="1" applyFill="1" applyBorder="1" applyAlignment="1" applyProtection="1">
      <alignment horizontal="center" vertical="center"/>
      <protection locked="0" hidden="1"/>
    </xf>
    <xf numFmtId="10" fontId="60" fillId="0" borderId="0" xfId="30" applyNumberFormat="1" applyFont="1" applyFill="1" applyBorder="1" applyAlignment="1" applyProtection="1">
      <alignment horizontal="center"/>
      <protection locked="0" hidden="1"/>
    </xf>
    <xf numFmtId="9" fontId="60" fillId="0" borderId="0" xfId="18" applyNumberFormat="1" applyFont="1" applyAlignment="1" applyProtection="1">
      <alignment vertical="center" wrapText="1"/>
      <protection locked="0" hidden="1"/>
    </xf>
    <xf numFmtId="177" fontId="60" fillId="0" borderId="0" xfId="36" applyNumberFormat="1" applyFont="1" applyFill="1" applyBorder="1" applyAlignment="1" applyProtection="1">
      <alignment horizontal="center"/>
      <protection locked="0" hidden="1"/>
    </xf>
    <xf numFmtId="177" fontId="60" fillId="0" borderId="0" xfId="18" applyNumberFormat="1" applyFont="1" applyAlignment="1" applyProtection="1">
      <alignment horizontal="center"/>
      <protection locked="0" hidden="1"/>
    </xf>
    <xf numFmtId="0" fontId="85" fillId="0" borderId="0" xfId="18" applyFont="1" applyProtection="1">
      <protection locked="0" hidden="1"/>
    </xf>
    <xf numFmtId="9" fontId="85" fillId="0" borderId="0" xfId="18" applyNumberFormat="1" applyFont="1" applyAlignment="1" applyProtection="1">
      <alignment vertical="center" wrapText="1"/>
      <protection locked="0" hidden="1"/>
    </xf>
    <xf numFmtId="177" fontId="85" fillId="0" borderId="0" xfId="36" applyNumberFormat="1" applyFont="1" applyFill="1" applyBorder="1" applyAlignment="1" applyProtection="1">
      <alignment horizontal="center"/>
      <protection locked="0" hidden="1"/>
    </xf>
    <xf numFmtId="177" fontId="85" fillId="0" borderId="0" xfId="18" applyNumberFormat="1" applyFont="1" applyAlignment="1" applyProtection="1">
      <alignment horizontal="center"/>
      <protection locked="0" hidden="1"/>
    </xf>
    <xf numFmtId="0" fontId="2" fillId="0" borderId="0" xfId="18" applyAlignment="1" applyProtection="1">
      <alignment horizontal="right"/>
      <protection locked="0" hidden="1"/>
    </xf>
    <xf numFmtId="0" fontId="2" fillId="0" borderId="0" xfId="18" applyProtection="1">
      <protection locked="0" hidden="1"/>
    </xf>
    <xf numFmtId="0" fontId="58" fillId="0" borderId="0" xfId="18" applyFont="1" applyAlignment="1" applyProtection="1">
      <alignment horizontal="center" vertical="center" wrapText="1"/>
      <protection locked="0"/>
    </xf>
    <xf numFmtId="0" fontId="86" fillId="0" borderId="0" xfId="18" applyFont="1" applyAlignment="1" applyProtection="1">
      <alignment horizontal="center" vertical="center" wrapText="1"/>
      <protection locked="0"/>
    </xf>
    <xf numFmtId="0" fontId="2" fillId="0" borderId="0" xfId="18" applyAlignment="1" applyProtection="1">
      <alignment horizontal="center" vertical="center"/>
      <protection locked="0"/>
    </xf>
    <xf numFmtId="0" fontId="60" fillId="0" borderId="0" xfId="18" applyFont="1" applyAlignment="1" applyProtection="1">
      <alignment horizontal="center" vertical="center"/>
      <protection locked="0"/>
    </xf>
    <xf numFmtId="0" fontId="86" fillId="0" borderId="0" xfId="18" applyFont="1" applyAlignment="1" applyProtection="1">
      <alignment horizontal="center" vertical="center"/>
      <protection locked="0"/>
    </xf>
    <xf numFmtId="0" fontId="53" fillId="0" borderId="0" xfId="18" applyFont="1" applyAlignment="1" applyProtection="1">
      <alignment horizontal="right" vertical="center"/>
      <protection hidden="1"/>
    </xf>
    <xf numFmtId="0" fontId="53" fillId="0" borderId="0" xfId="18" applyFont="1" applyAlignment="1" applyProtection="1">
      <alignment horizontal="left" vertical="center"/>
      <protection hidden="1"/>
    </xf>
    <xf numFmtId="0" fontId="58" fillId="0" borderId="0" xfId="18" applyFont="1" applyAlignment="1" applyProtection="1">
      <alignment vertical="top" wrapText="1"/>
      <protection hidden="1"/>
    </xf>
    <xf numFmtId="0" fontId="58" fillId="0" borderId="1" xfId="18" applyFont="1" applyBorder="1" applyAlignment="1" applyProtection="1">
      <alignment horizontal="center" vertical="center"/>
      <protection hidden="1"/>
    </xf>
    <xf numFmtId="0" fontId="2" fillId="0" borderId="1" xfId="18" applyBorder="1" applyAlignment="1" applyProtection="1">
      <alignment horizontal="center"/>
      <protection hidden="1"/>
    </xf>
    <xf numFmtId="0" fontId="58" fillId="0" borderId="1" xfId="0" applyFont="1" applyBorder="1" applyAlignment="1" applyProtection="1">
      <alignment vertical="top" wrapText="1"/>
      <protection hidden="1"/>
    </xf>
    <xf numFmtId="10" fontId="2" fillId="0" borderId="1" xfId="18" applyNumberFormat="1" applyBorder="1" applyAlignment="1" applyProtection="1">
      <alignment horizontal="center"/>
      <protection hidden="1"/>
    </xf>
    <xf numFmtId="4" fontId="2" fillId="0" borderId="1" xfId="18" applyNumberFormat="1" applyBorder="1" applyProtection="1">
      <protection hidden="1"/>
    </xf>
    <xf numFmtId="0" fontId="51" fillId="0" borderId="8" xfId="18" applyFont="1" applyBorder="1" applyProtection="1">
      <protection hidden="1"/>
    </xf>
    <xf numFmtId="0" fontId="54" fillId="0" borderId="0" xfId="18" applyFont="1" applyAlignment="1" applyProtection="1">
      <alignment vertical="center"/>
      <protection hidden="1"/>
    </xf>
    <xf numFmtId="0" fontId="51" fillId="0" borderId="3" xfId="18" applyFont="1" applyBorder="1" applyProtection="1">
      <protection hidden="1"/>
    </xf>
    <xf numFmtId="0" fontId="58" fillId="0" borderId="1" xfId="0" applyFont="1" applyBorder="1" applyAlignment="1" applyProtection="1">
      <alignment horizontal="left" vertical="center" wrapText="1"/>
      <protection hidden="1"/>
    </xf>
    <xf numFmtId="0" fontId="58" fillId="0" borderId="1" xfId="0" applyFont="1" applyBorder="1" applyAlignment="1" applyProtection="1">
      <alignment horizontal="left" vertical="top" wrapText="1"/>
      <protection hidden="1"/>
    </xf>
    <xf numFmtId="0" fontId="51" fillId="0" borderId="6" xfId="18" applyFont="1" applyBorder="1" applyProtection="1">
      <protection hidden="1"/>
    </xf>
    <xf numFmtId="1" fontId="2" fillId="0" borderId="1" xfId="18" applyNumberFormat="1" applyBorder="1" applyAlignment="1" applyProtection="1">
      <alignment horizontal="center"/>
      <protection hidden="1"/>
    </xf>
    <xf numFmtId="0" fontId="58" fillId="0" borderId="0" xfId="18" applyFont="1" applyAlignment="1" applyProtection="1">
      <alignment horizontal="left" vertical="top" wrapText="1"/>
      <protection hidden="1"/>
    </xf>
    <xf numFmtId="183" fontId="2" fillId="0" borderId="0" xfId="18" applyNumberFormat="1" applyAlignment="1" applyProtection="1">
      <alignment horizontal="center"/>
      <protection hidden="1"/>
    </xf>
    <xf numFmtId="10" fontId="2" fillId="0" borderId="0" xfId="18" applyNumberFormat="1" applyAlignment="1" applyProtection="1">
      <alignment horizontal="center"/>
      <protection hidden="1"/>
    </xf>
    <xf numFmtId="4" fontId="2" fillId="0" borderId="0" xfId="18" applyNumberFormat="1" applyProtection="1">
      <protection hidden="1"/>
    </xf>
    <xf numFmtId="0" fontId="2" fillId="0" borderId="1" xfId="18" applyBorder="1" applyProtection="1">
      <protection hidden="1"/>
    </xf>
    <xf numFmtId="9" fontId="2" fillId="0" borderId="1" xfId="32" applyFont="1" applyBorder="1" applyAlignment="1" applyProtection="1">
      <alignment horizontal="center"/>
      <protection hidden="1"/>
    </xf>
    <xf numFmtId="39" fontId="49" fillId="4" borderId="1" xfId="56" applyNumberFormat="1" applyFont="1" applyFill="1" applyBorder="1" applyAlignment="1" applyProtection="1">
      <alignment horizontal="center" vertical="center"/>
      <protection hidden="1"/>
    </xf>
    <xf numFmtId="9" fontId="2" fillId="0" borderId="1" xfId="18" applyNumberFormat="1" applyBorder="1" applyAlignment="1" applyProtection="1">
      <alignment horizontal="center"/>
      <protection hidden="1"/>
    </xf>
    <xf numFmtId="187" fontId="49" fillId="4" borderId="1" xfId="56" applyNumberFormat="1" applyFont="1" applyFill="1" applyBorder="1" applyAlignment="1" applyProtection="1">
      <alignment horizontal="center" vertical="center"/>
      <protection hidden="1"/>
    </xf>
    <xf numFmtId="0" fontId="17" fillId="9" borderId="0" xfId="0" applyFont="1" applyFill="1" applyProtection="1">
      <protection hidden="1"/>
    </xf>
    <xf numFmtId="165" fontId="26" fillId="9" borderId="0" xfId="2" applyFont="1" applyFill="1" applyProtection="1">
      <protection hidden="1"/>
    </xf>
    <xf numFmtId="0" fontId="17" fillId="9" borderId="0" xfId="0" applyFont="1" applyFill="1" applyAlignment="1" applyProtection="1">
      <alignment horizontal="right"/>
      <protection hidden="1"/>
    </xf>
    <xf numFmtId="165" fontId="26" fillId="4" borderId="1" xfId="2" applyFont="1" applyFill="1" applyBorder="1" applyProtection="1">
      <protection hidden="1"/>
    </xf>
    <xf numFmtId="0" fontId="0" fillId="9" borderId="0" xfId="0" applyFill="1" applyAlignment="1" applyProtection="1">
      <alignment horizontal="right"/>
      <protection hidden="1"/>
    </xf>
    <xf numFmtId="0" fontId="2" fillId="9" borderId="0" xfId="0" applyFont="1" applyFill="1" applyProtection="1">
      <protection hidden="1"/>
    </xf>
    <xf numFmtId="0" fontId="17" fillId="0" borderId="1" xfId="0" applyFont="1" applyBorder="1" applyAlignment="1" applyProtection="1">
      <alignment horizontal="right"/>
      <protection hidden="1"/>
    </xf>
    <xf numFmtId="165" fontId="17" fillId="4" borderId="1" xfId="2" applyFont="1" applyFill="1" applyBorder="1" applyProtection="1">
      <protection hidden="1"/>
    </xf>
    <xf numFmtId="165" fontId="26" fillId="2" borderId="1" xfId="2" applyFont="1" applyFill="1" applyBorder="1" applyProtection="1">
      <protection locked="0"/>
    </xf>
    <xf numFmtId="165" fontId="26" fillId="9" borderId="0" xfId="2" applyFont="1" applyFill="1" applyProtection="1">
      <protection locked="0"/>
    </xf>
    <xf numFmtId="4" fontId="50" fillId="9" borderId="0" xfId="0" applyNumberFormat="1" applyFont="1" applyFill="1" applyAlignment="1" applyProtection="1">
      <alignment horizontal="center" vertical="center"/>
      <protection hidden="1"/>
    </xf>
    <xf numFmtId="0" fontId="87" fillId="9" borderId="1" xfId="0" applyFont="1" applyFill="1" applyBorder="1" applyAlignment="1" applyProtection="1">
      <alignment horizontal="center" vertical="center"/>
      <protection hidden="1"/>
    </xf>
    <xf numFmtId="4" fontId="87" fillId="9" borderId="1" xfId="0" applyNumberFormat="1" applyFont="1" applyFill="1" applyBorder="1" applyAlignment="1" applyProtection="1">
      <alignment horizontal="center" vertical="center"/>
      <protection hidden="1"/>
    </xf>
    <xf numFmtId="0" fontId="87" fillId="9" borderId="16" xfId="0" applyFont="1" applyFill="1" applyBorder="1" applyAlignment="1" applyProtection="1">
      <alignment horizontal="center" vertical="center"/>
      <protection hidden="1"/>
    </xf>
    <xf numFmtId="0" fontId="75" fillId="9" borderId="16" xfId="16" applyFont="1" applyFill="1" applyBorder="1" applyAlignment="1" applyProtection="1">
      <alignment horizontal="center" vertical="center"/>
      <protection hidden="1"/>
    </xf>
    <xf numFmtId="0" fontId="88" fillId="0" borderId="1" xfId="0" applyFont="1" applyBorder="1" applyAlignment="1" applyProtection="1">
      <alignment horizontal="center"/>
      <protection hidden="1"/>
    </xf>
    <xf numFmtId="177" fontId="50" fillId="9" borderId="1" xfId="0" applyNumberFormat="1" applyFont="1" applyFill="1" applyBorder="1" applyAlignment="1" applyProtection="1">
      <alignment horizontal="center" vertical="center"/>
      <protection hidden="1"/>
    </xf>
    <xf numFmtId="10" fontId="50" fillId="9" borderId="1" xfId="32" applyNumberFormat="1" applyFont="1" applyFill="1" applyBorder="1" applyAlignment="1" applyProtection="1">
      <alignment horizontal="center" vertical="center"/>
      <protection hidden="1"/>
    </xf>
    <xf numFmtId="181" fontId="50" fillId="9" borderId="1" xfId="18" applyNumberFormat="1" applyFont="1" applyFill="1" applyBorder="1" applyAlignment="1" applyProtection="1">
      <alignment horizontal="center" vertical="center"/>
      <protection hidden="1"/>
    </xf>
    <xf numFmtId="0" fontId="50" fillId="9" borderId="1" xfId="16" applyFont="1" applyFill="1" applyBorder="1" applyAlignment="1" applyProtection="1">
      <alignment horizontal="center" vertical="center" wrapText="1"/>
      <protection hidden="1"/>
    </xf>
    <xf numFmtId="0" fontId="89" fillId="0" borderId="1" xfId="0" applyFont="1" applyBorder="1" applyAlignment="1" applyProtection="1">
      <alignment horizontal="center"/>
      <protection hidden="1"/>
    </xf>
    <xf numFmtId="0" fontId="50" fillId="9" borderId="1" xfId="16" applyFont="1" applyFill="1" applyBorder="1" applyAlignment="1" applyProtection="1">
      <alignment horizontal="center" wrapText="1"/>
      <protection hidden="1"/>
    </xf>
    <xf numFmtId="0" fontId="89" fillId="0" borderId="1" xfId="0" applyFont="1" applyBorder="1" applyAlignment="1" applyProtection="1">
      <alignment horizontal="center" vertical="center"/>
      <protection hidden="1"/>
    </xf>
    <xf numFmtId="0" fontId="50" fillId="9" borderId="1" xfId="16" applyFont="1" applyFill="1" applyBorder="1" applyAlignment="1" applyProtection="1">
      <alignment horizontal="center" vertical="center"/>
      <protection hidden="1"/>
    </xf>
    <xf numFmtId="0" fontId="50" fillId="0" borderId="0" xfId="0" applyFont="1" applyAlignment="1" applyProtection="1">
      <alignment horizontal="center" vertical="center"/>
      <protection hidden="1"/>
    </xf>
    <xf numFmtId="0" fontId="78" fillId="0" borderId="0" xfId="0" applyFont="1" applyAlignment="1" applyProtection="1">
      <alignment horizontal="center"/>
      <protection hidden="1"/>
    </xf>
    <xf numFmtId="20" fontId="49" fillId="7" borderId="1" xfId="23" applyNumberFormat="1" applyFont="1" applyFill="1" applyBorder="1" applyAlignment="1" applyProtection="1">
      <alignment horizontal="center" vertical="center"/>
      <protection hidden="1"/>
    </xf>
    <xf numFmtId="184" fontId="49" fillId="7" borderId="12" xfId="23" applyNumberFormat="1" applyFont="1" applyFill="1" applyBorder="1" applyAlignment="1" applyProtection="1">
      <alignment horizontal="center" vertical="center"/>
      <protection hidden="1"/>
    </xf>
    <xf numFmtId="178" fontId="51" fillId="3" borderId="1" xfId="0" applyNumberFormat="1" applyFont="1" applyFill="1" applyBorder="1" applyAlignment="1">
      <alignment horizontal="center"/>
    </xf>
    <xf numFmtId="179" fontId="46" fillId="13" borderId="38" xfId="31" applyNumberFormat="1" applyFont="1" applyFill="1" applyBorder="1" applyAlignment="1">
      <alignment horizontal="center" vertical="center"/>
    </xf>
    <xf numFmtId="179" fontId="46" fillId="13" borderId="39" xfId="31" applyNumberFormat="1" applyFont="1" applyFill="1" applyBorder="1" applyAlignment="1">
      <alignment horizontal="center" vertical="center"/>
    </xf>
    <xf numFmtId="179" fontId="46" fillId="13" borderId="40" xfId="31" applyNumberFormat="1" applyFont="1" applyFill="1" applyBorder="1" applyAlignment="1">
      <alignment horizontal="center" vertical="center"/>
    </xf>
    <xf numFmtId="179" fontId="46" fillId="13" borderId="41" xfId="31" applyNumberFormat="1" applyFont="1" applyFill="1" applyBorder="1" applyAlignment="1">
      <alignment horizontal="center" vertical="center"/>
    </xf>
    <xf numFmtId="179" fontId="46" fillId="13" borderId="32" xfId="31" applyNumberFormat="1" applyFont="1" applyFill="1" applyBorder="1" applyAlignment="1">
      <alignment horizontal="center" vertical="center"/>
    </xf>
    <xf numFmtId="179" fontId="46" fillId="13" borderId="29" xfId="31" applyNumberFormat="1" applyFont="1" applyFill="1" applyBorder="1" applyAlignment="1">
      <alignment horizontal="center" vertical="center"/>
    </xf>
    <xf numFmtId="179" fontId="46" fillId="13" borderId="26" xfId="31" applyNumberFormat="1" applyFont="1" applyFill="1" applyBorder="1" applyAlignment="1">
      <alignment horizontal="center" vertical="center"/>
    </xf>
    <xf numFmtId="179" fontId="46" fillId="13" borderId="42" xfId="31" applyNumberFormat="1" applyFont="1" applyFill="1" applyBorder="1" applyAlignment="1">
      <alignment horizontal="center" vertical="center"/>
    </xf>
    <xf numFmtId="0" fontId="95" fillId="11" borderId="11" xfId="16" applyFont="1" applyFill="1" applyBorder="1" applyAlignment="1" applyProtection="1">
      <alignment vertical="center"/>
      <protection hidden="1"/>
    </xf>
    <xf numFmtId="0" fontId="95" fillId="11" borderId="20" xfId="16" applyFont="1" applyFill="1" applyBorder="1" applyAlignment="1" applyProtection="1">
      <alignment vertical="center"/>
      <protection hidden="1"/>
    </xf>
    <xf numFmtId="0" fontId="95" fillId="11" borderId="12" xfId="16" applyFont="1" applyFill="1" applyBorder="1" applyAlignment="1" applyProtection="1">
      <alignment vertical="center"/>
      <protection hidden="1"/>
    </xf>
    <xf numFmtId="0" fontId="1" fillId="0" borderId="0" xfId="0" applyFont="1"/>
    <xf numFmtId="178" fontId="51" fillId="4" borderId="58" xfId="0" applyNumberFormat="1" applyFont="1" applyFill="1" applyBorder="1" applyAlignment="1" applyProtection="1">
      <alignment horizontal="center"/>
      <protection hidden="1"/>
    </xf>
    <xf numFmtId="167" fontId="46" fillId="22" borderId="63" xfId="56" applyNumberFormat="1" applyFont="1" applyFill="1" applyBorder="1" applyAlignment="1" applyProtection="1">
      <alignment horizontal="center" vertical="center"/>
      <protection hidden="1"/>
    </xf>
    <xf numFmtId="167" fontId="46" fillId="22" borderId="47" xfId="56" applyNumberFormat="1" applyFont="1" applyFill="1" applyBorder="1" applyAlignment="1" applyProtection="1">
      <alignment horizontal="center" vertical="center"/>
      <protection hidden="1"/>
    </xf>
    <xf numFmtId="167" fontId="46" fillId="22" borderId="12" xfId="56" applyNumberFormat="1" applyFont="1" applyFill="1" applyBorder="1" applyAlignment="1" applyProtection="1">
      <alignment horizontal="center" vertical="center"/>
      <protection hidden="1"/>
    </xf>
    <xf numFmtId="9" fontId="51" fillId="0" borderId="0" xfId="0" applyNumberFormat="1" applyFont="1" applyProtection="1">
      <protection hidden="1"/>
    </xf>
    <xf numFmtId="176" fontId="51" fillId="0" borderId="0" xfId="30" applyNumberFormat="1" applyFont="1" applyProtection="1">
      <protection hidden="1"/>
    </xf>
    <xf numFmtId="7" fontId="0" fillId="8" borderId="12" xfId="0" applyNumberFormat="1" applyFill="1" applyBorder="1" applyProtection="1">
      <protection hidden="1"/>
    </xf>
    <xf numFmtId="0" fontId="50" fillId="9" borderId="0" xfId="0" applyFont="1" applyFill="1"/>
    <xf numFmtId="0" fontId="97" fillId="9" borderId="0" xfId="0" applyFont="1" applyFill="1"/>
    <xf numFmtId="0" fontId="97" fillId="0" borderId="0" xfId="0" applyFont="1"/>
    <xf numFmtId="0" fontId="97" fillId="10" borderId="1" xfId="0" applyFont="1" applyFill="1" applyBorder="1"/>
    <xf numFmtId="0" fontId="97" fillId="3" borderId="1" xfId="0" applyFont="1" applyFill="1" applyBorder="1"/>
    <xf numFmtId="0" fontId="97" fillId="8" borderId="1" xfId="0" applyFont="1" applyFill="1" applyBorder="1"/>
    <xf numFmtId="0" fontId="75" fillId="9" borderId="0" xfId="0" applyFont="1" applyFill="1"/>
    <xf numFmtId="0" fontId="98" fillId="9" borderId="0" xfId="0" applyFont="1" applyFill="1"/>
    <xf numFmtId="0" fontId="65" fillId="9" borderId="0" xfId="0" applyFont="1" applyFill="1" applyAlignment="1">
      <alignment horizontal="left"/>
    </xf>
    <xf numFmtId="0" fontId="48" fillId="11" borderId="1" xfId="0" applyFont="1" applyFill="1" applyBorder="1" applyAlignment="1" applyProtection="1">
      <alignment horizontal="center"/>
      <protection hidden="1"/>
    </xf>
    <xf numFmtId="0" fontId="52" fillId="0" borderId="0" xfId="0" applyFont="1" applyAlignment="1" applyProtection="1">
      <alignment horizontal="left"/>
      <protection hidden="1"/>
    </xf>
    <xf numFmtId="0" fontId="52" fillId="8" borderId="13" xfId="0" applyFont="1" applyFill="1" applyBorder="1" applyAlignment="1" applyProtection="1">
      <alignment horizontal="center" vertical="center"/>
      <protection hidden="1"/>
    </xf>
    <xf numFmtId="0" fontId="52" fillId="8" borderId="14" xfId="0" applyFont="1" applyFill="1" applyBorder="1" applyAlignment="1" applyProtection="1">
      <alignment horizontal="center" vertical="center"/>
      <protection hidden="1"/>
    </xf>
    <xf numFmtId="0" fontId="52" fillId="8" borderId="15" xfId="0" applyFont="1" applyFill="1" applyBorder="1" applyAlignment="1" applyProtection="1">
      <alignment horizontal="center" vertical="center"/>
      <protection hidden="1"/>
    </xf>
    <xf numFmtId="0" fontId="48" fillId="12" borderId="11" xfId="0" applyFont="1" applyFill="1" applyBorder="1" applyAlignment="1" applyProtection="1">
      <alignment horizontal="center"/>
      <protection hidden="1"/>
    </xf>
    <xf numFmtId="0" fontId="48" fillId="12" borderId="20" xfId="0" applyFont="1" applyFill="1" applyBorder="1" applyAlignment="1" applyProtection="1">
      <alignment horizontal="center"/>
      <protection hidden="1"/>
    </xf>
    <xf numFmtId="0" fontId="48" fillId="12" borderId="12" xfId="0" applyFont="1" applyFill="1" applyBorder="1" applyAlignment="1" applyProtection="1">
      <alignment horizontal="center"/>
      <protection hidden="1"/>
    </xf>
    <xf numFmtId="0" fontId="48" fillId="12" borderId="1" xfId="0" applyFont="1" applyFill="1" applyBorder="1" applyAlignment="1" applyProtection="1">
      <alignment horizontal="center"/>
      <protection hidden="1"/>
    </xf>
    <xf numFmtId="0" fontId="48" fillId="12" borderId="10" xfId="0" applyFont="1" applyFill="1" applyBorder="1" applyAlignment="1" applyProtection="1">
      <alignment horizontal="center" vertical="center" textRotation="90"/>
      <protection hidden="1"/>
    </xf>
    <xf numFmtId="0" fontId="48" fillId="12" borderId="21" xfId="0" applyFont="1" applyFill="1" applyBorder="1" applyAlignment="1" applyProtection="1">
      <alignment horizontal="center" vertical="center" textRotation="90"/>
      <protection hidden="1"/>
    </xf>
    <xf numFmtId="0" fontId="48" fillId="12" borderId="16" xfId="0" applyFont="1" applyFill="1" applyBorder="1" applyAlignment="1" applyProtection="1">
      <alignment horizontal="center" vertical="center" textRotation="90"/>
      <protection hidden="1"/>
    </xf>
    <xf numFmtId="0" fontId="53" fillId="10" borderId="1" xfId="0" applyFont="1" applyFill="1" applyBorder="1" applyAlignment="1" applyProtection="1">
      <alignment horizontal="right"/>
      <protection hidden="1"/>
    </xf>
    <xf numFmtId="0" fontId="53" fillId="10" borderId="1" xfId="0" applyFont="1" applyFill="1" applyBorder="1" applyAlignment="1" applyProtection="1">
      <alignment horizontal="right" wrapText="1"/>
      <protection hidden="1"/>
    </xf>
    <xf numFmtId="166" fontId="46" fillId="2" borderId="10" xfId="16" applyNumberFormat="1" applyFill="1" applyBorder="1" applyAlignment="1" applyProtection="1">
      <alignment horizontal="center" vertical="center"/>
      <protection locked="0"/>
    </xf>
    <xf numFmtId="166" fontId="46" fillId="2" borderId="16" xfId="16" applyNumberFormat="1" applyFill="1" applyBorder="1" applyAlignment="1" applyProtection="1">
      <alignment horizontal="center" vertical="center"/>
      <protection locked="0"/>
    </xf>
    <xf numFmtId="0" fontId="48" fillId="12" borderId="1" xfId="0" applyFont="1" applyFill="1" applyBorder="1" applyAlignment="1" applyProtection="1">
      <alignment horizontal="center" vertical="center" wrapText="1"/>
      <protection hidden="1"/>
    </xf>
    <xf numFmtId="0" fontId="53" fillId="0" borderId="0" xfId="0" applyFont="1" applyAlignment="1" applyProtection="1">
      <alignment horizontal="left"/>
      <protection hidden="1"/>
    </xf>
    <xf numFmtId="0" fontId="50" fillId="2" borderId="11" xfId="0" applyFont="1" applyFill="1" applyBorder="1" applyAlignment="1" applyProtection="1">
      <alignment horizontal="center"/>
      <protection locked="0"/>
    </xf>
    <xf numFmtId="0" fontId="50" fillId="2" borderId="12" xfId="0" applyFont="1" applyFill="1" applyBorder="1" applyAlignment="1" applyProtection="1">
      <alignment horizontal="center"/>
      <protection locked="0"/>
    </xf>
    <xf numFmtId="0" fontId="66" fillId="11" borderId="1" xfId="0" applyFont="1" applyFill="1" applyBorder="1" applyAlignment="1" applyProtection="1">
      <alignment horizontal="center" vertical="center" wrapText="1"/>
      <protection hidden="1"/>
    </xf>
    <xf numFmtId="0" fontId="66" fillId="12" borderId="1" xfId="0" applyFont="1" applyFill="1" applyBorder="1" applyAlignment="1" applyProtection="1">
      <alignment horizontal="center" vertical="center" wrapText="1"/>
      <protection hidden="1"/>
    </xf>
    <xf numFmtId="4" fontId="65" fillId="2" borderId="11" xfId="18" applyNumberFormat="1" applyFont="1" applyFill="1" applyBorder="1" applyAlignment="1" applyProtection="1">
      <alignment horizontal="center" vertical="center" wrapText="1"/>
      <protection locked="0"/>
    </xf>
    <xf numFmtId="4" fontId="65" fillId="2" borderId="12" xfId="18" applyNumberFormat="1" applyFont="1" applyFill="1" applyBorder="1" applyAlignment="1" applyProtection="1">
      <alignment horizontal="center" vertical="center" wrapText="1"/>
      <protection locked="0"/>
    </xf>
    <xf numFmtId="0" fontId="66" fillId="11" borderId="11" xfId="0" applyFont="1" applyFill="1" applyBorder="1" applyAlignment="1" applyProtection="1">
      <alignment horizontal="center" vertical="center" wrapText="1"/>
      <protection hidden="1"/>
    </xf>
    <xf numFmtId="0" fontId="66" fillId="11" borderId="20" xfId="0" applyFont="1" applyFill="1" applyBorder="1" applyAlignment="1" applyProtection="1">
      <alignment horizontal="center" vertical="center" wrapText="1"/>
      <protection hidden="1"/>
    </xf>
    <xf numFmtId="0" fontId="66" fillId="11" borderId="12" xfId="0" applyFont="1" applyFill="1" applyBorder="1" applyAlignment="1" applyProtection="1">
      <alignment horizontal="center" vertical="center" wrapText="1"/>
      <protection hidden="1"/>
    </xf>
    <xf numFmtId="0" fontId="65" fillId="10" borderId="11" xfId="0" applyFont="1" applyFill="1" applyBorder="1" applyAlignment="1" applyProtection="1">
      <alignment horizontal="left" vertical="center" wrapText="1"/>
      <protection hidden="1"/>
    </xf>
    <xf numFmtId="0" fontId="65" fillId="10" borderId="12" xfId="0" applyFont="1" applyFill="1" applyBorder="1" applyAlignment="1" applyProtection="1">
      <alignment horizontal="left" vertical="center" wrapText="1"/>
      <protection hidden="1"/>
    </xf>
    <xf numFmtId="0" fontId="66" fillId="12" borderId="11" xfId="0" applyFont="1" applyFill="1" applyBorder="1" applyAlignment="1" applyProtection="1">
      <alignment horizontal="center" vertical="center" wrapText="1"/>
      <protection hidden="1"/>
    </xf>
    <xf numFmtId="0" fontId="66" fillId="12" borderId="12" xfId="0" applyFont="1" applyFill="1" applyBorder="1" applyAlignment="1" applyProtection="1">
      <alignment horizontal="center" vertical="center" wrapText="1"/>
      <protection hidden="1"/>
    </xf>
    <xf numFmtId="0" fontId="66" fillId="12" borderId="20" xfId="0" applyFont="1" applyFill="1" applyBorder="1" applyAlignment="1" applyProtection="1">
      <alignment horizontal="center" vertical="center" wrapText="1"/>
      <protection hidden="1"/>
    </xf>
    <xf numFmtId="0" fontId="65" fillId="10" borderId="1" xfId="0" applyFont="1" applyFill="1" applyBorder="1" applyAlignment="1" applyProtection="1">
      <alignment horizontal="right"/>
      <protection hidden="1"/>
    </xf>
    <xf numFmtId="0" fontId="65" fillId="10" borderId="1" xfId="0" applyFont="1" applyFill="1" applyBorder="1" applyAlignment="1" applyProtection="1">
      <alignment horizontal="right" wrapText="1"/>
      <protection hidden="1"/>
    </xf>
    <xf numFmtId="0" fontId="65" fillId="10" borderId="1" xfId="0" applyFont="1" applyFill="1" applyBorder="1" applyAlignment="1" applyProtection="1">
      <alignment horizontal="center"/>
      <protection hidden="1"/>
    </xf>
    <xf numFmtId="0" fontId="48" fillId="12" borderId="11" xfId="16" applyFont="1" applyFill="1" applyBorder="1" applyAlignment="1" applyProtection="1">
      <alignment horizontal="center" vertical="center"/>
      <protection hidden="1"/>
    </xf>
    <xf numFmtId="0" fontId="48" fillId="12" borderId="12" xfId="16" applyFont="1" applyFill="1" applyBorder="1" applyAlignment="1" applyProtection="1">
      <alignment horizontal="center" vertical="center"/>
      <protection hidden="1"/>
    </xf>
    <xf numFmtId="0" fontId="62" fillId="7" borderId="11" xfId="16" applyFont="1" applyFill="1" applyBorder="1" applyAlignment="1" applyProtection="1">
      <alignment horizontal="left"/>
      <protection hidden="1"/>
    </xf>
    <xf numFmtId="0" fontId="62" fillId="7" borderId="20" xfId="16" applyFont="1" applyFill="1" applyBorder="1" applyAlignment="1" applyProtection="1">
      <alignment horizontal="left"/>
      <protection hidden="1"/>
    </xf>
    <xf numFmtId="0" fontId="67" fillId="10" borderId="1" xfId="16" applyFont="1" applyFill="1" applyBorder="1" applyAlignment="1" applyProtection="1">
      <alignment horizontal="center" vertical="center"/>
      <protection hidden="1"/>
    </xf>
    <xf numFmtId="0" fontId="67" fillId="10" borderId="19" xfId="16" applyFont="1" applyFill="1" applyBorder="1" applyAlignment="1" applyProtection="1">
      <alignment horizontal="center" vertical="center"/>
      <protection hidden="1"/>
    </xf>
    <xf numFmtId="0" fontId="67" fillId="10" borderId="22" xfId="16" applyFont="1" applyFill="1" applyBorder="1" applyAlignment="1" applyProtection="1">
      <alignment horizontal="center" vertical="center"/>
      <protection hidden="1"/>
    </xf>
    <xf numFmtId="0" fontId="67" fillId="10" borderId="43" xfId="16" applyFont="1" applyFill="1" applyBorder="1" applyAlignment="1" applyProtection="1">
      <alignment horizontal="center" vertical="center"/>
      <protection hidden="1"/>
    </xf>
    <xf numFmtId="0" fontId="67" fillId="10" borderId="17" xfId="16" applyFont="1" applyFill="1" applyBorder="1" applyAlignment="1" applyProtection="1">
      <alignment horizontal="center" vertical="center"/>
      <protection hidden="1"/>
    </xf>
    <xf numFmtId="0" fontId="67" fillId="10" borderId="0" xfId="16" applyFont="1" applyFill="1" applyAlignment="1" applyProtection="1">
      <alignment horizontal="center" vertical="center"/>
      <protection hidden="1"/>
    </xf>
    <xf numFmtId="0" fontId="67" fillId="10" borderId="18" xfId="16" applyFont="1" applyFill="1" applyBorder="1" applyAlignment="1" applyProtection="1">
      <alignment horizontal="center" vertical="center"/>
      <protection hidden="1"/>
    </xf>
    <xf numFmtId="0" fontId="67" fillId="10" borderId="37" xfId="16" applyFont="1" applyFill="1" applyBorder="1" applyAlignment="1" applyProtection="1">
      <alignment horizontal="center" vertical="center"/>
      <protection hidden="1"/>
    </xf>
    <xf numFmtId="0" fontId="67" fillId="10" borderId="23" xfId="16" applyFont="1" applyFill="1" applyBorder="1" applyAlignment="1" applyProtection="1">
      <alignment horizontal="center" vertical="center"/>
      <protection hidden="1"/>
    </xf>
    <xf numFmtId="0" fontId="67" fillId="10" borderId="44" xfId="16" applyFont="1" applyFill="1" applyBorder="1" applyAlignment="1" applyProtection="1">
      <alignment horizontal="center" vertical="center"/>
      <protection hidden="1"/>
    </xf>
    <xf numFmtId="0" fontId="67" fillId="10" borderId="11" xfId="16" applyFont="1" applyFill="1" applyBorder="1" applyAlignment="1" applyProtection="1">
      <alignment horizontal="left"/>
      <protection hidden="1"/>
    </xf>
    <xf numFmtId="0" fontId="67" fillId="10" borderId="20" xfId="16" applyFont="1" applyFill="1" applyBorder="1" applyAlignment="1" applyProtection="1">
      <alignment horizontal="left"/>
      <protection hidden="1"/>
    </xf>
    <xf numFmtId="0" fontId="48" fillId="12" borderId="1" xfId="16" applyFont="1" applyFill="1" applyBorder="1" applyAlignment="1" applyProtection="1">
      <alignment horizontal="center" vertical="center"/>
      <protection hidden="1"/>
    </xf>
    <xf numFmtId="0" fontId="48" fillId="12" borderId="19" xfId="16" applyFont="1" applyFill="1" applyBorder="1" applyAlignment="1" applyProtection="1">
      <alignment horizontal="center" vertical="center"/>
      <protection hidden="1"/>
    </xf>
    <xf numFmtId="0" fontId="48" fillId="12" borderId="22" xfId="16" applyFont="1" applyFill="1" applyBorder="1" applyAlignment="1" applyProtection="1">
      <alignment horizontal="center" vertical="center"/>
      <protection hidden="1"/>
    </xf>
    <xf numFmtId="0" fontId="48" fillId="12" borderId="37" xfId="16" applyFont="1" applyFill="1" applyBorder="1" applyAlignment="1" applyProtection="1">
      <alignment horizontal="center" vertical="center"/>
      <protection hidden="1"/>
    </xf>
    <xf numFmtId="0" fontId="48" fillId="12" borderId="23" xfId="16" applyFont="1" applyFill="1" applyBorder="1" applyAlignment="1" applyProtection="1">
      <alignment horizontal="center" vertical="center"/>
      <protection hidden="1"/>
    </xf>
    <xf numFmtId="0" fontId="48" fillId="12" borderId="10" xfId="16" applyFont="1" applyFill="1" applyBorder="1" applyAlignment="1" applyProtection="1">
      <alignment horizontal="center" vertical="center"/>
      <protection hidden="1"/>
    </xf>
    <xf numFmtId="0" fontId="48" fillId="12" borderId="16" xfId="16" applyFont="1" applyFill="1" applyBorder="1" applyAlignment="1" applyProtection="1">
      <alignment horizontal="center" vertical="center"/>
      <protection hidden="1"/>
    </xf>
    <xf numFmtId="0" fontId="67" fillId="10" borderId="1" xfId="16" applyFont="1" applyFill="1" applyBorder="1" applyAlignment="1" applyProtection="1">
      <alignment horizontal="left"/>
      <protection hidden="1"/>
    </xf>
    <xf numFmtId="39" fontId="49" fillId="25" borderId="1" xfId="56" applyNumberFormat="1" applyFont="1" applyFill="1" applyBorder="1" applyAlignment="1" applyProtection="1">
      <alignment horizontal="center" vertical="center"/>
      <protection hidden="1"/>
    </xf>
    <xf numFmtId="0" fontId="48" fillId="12" borderId="43" xfId="16" applyFont="1" applyFill="1" applyBorder="1" applyAlignment="1" applyProtection="1">
      <alignment horizontal="center" vertical="center"/>
      <protection hidden="1"/>
    </xf>
    <xf numFmtId="0" fontId="48" fillId="12" borderId="44" xfId="16" applyFont="1" applyFill="1" applyBorder="1" applyAlignment="1" applyProtection="1">
      <alignment horizontal="center" vertical="center"/>
      <protection hidden="1"/>
    </xf>
    <xf numFmtId="0" fontId="48" fillId="11" borderId="1" xfId="16" applyFont="1" applyFill="1" applyBorder="1" applyAlignment="1" applyProtection="1">
      <alignment horizontal="center" vertical="center"/>
      <protection hidden="1"/>
    </xf>
    <xf numFmtId="0" fontId="67" fillId="4" borderId="11" xfId="16" applyFont="1" applyFill="1" applyBorder="1" applyAlignment="1" applyProtection="1">
      <alignment horizontal="left"/>
      <protection hidden="1"/>
    </xf>
    <xf numFmtId="0" fontId="67" fillId="4" borderId="20" xfId="16" applyFont="1" applyFill="1" applyBorder="1" applyAlignment="1" applyProtection="1">
      <alignment horizontal="left"/>
      <protection hidden="1"/>
    </xf>
    <xf numFmtId="0" fontId="48" fillId="11" borderId="19" xfId="16" applyFont="1" applyFill="1" applyBorder="1" applyAlignment="1" applyProtection="1">
      <alignment horizontal="center" vertical="center"/>
      <protection hidden="1"/>
    </xf>
    <xf numFmtId="0" fontId="48" fillId="11" borderId="22" xfId="16" applyFont="1" applyFill="1" applyBorder="1" applyAlignment="1" applyProtection="1">
      <alignment horizontal="center" vertical="center"/>
      <protection hidden="1"/>
    </xf>
    <xf numFmtId="0" fontId="48" fillId="11" borderId="37" xfId="16" applyFont="1" applyFill="1" applyBorder="1" applyAlignment="1" applyProtection="1">
      <alignment horizontal="center" vertical="center"/>
      <protection hidden="1"/>
    </xf>
    <xf numFmtId="0" fontId="48" fillId="11" borderId="23" xfId="16" applyFont="1" applyFill="1" applyBorder="1" applyAlignment="1" applyProtection="1">
      <alignment horizontal="center" vertical="center"/>
      <protection hidden="1"/>
    </xf>
    <xf numFmtId="0" fontId="67" fillId="10" borderId="12" xfId="16" applyFont="1" applyFill="1" applyBorder="1" applyAlignment="1" applyProtection="1">
      <alignment horizontal="left"/>
      <protection hidden="1"/>
    </xf>
    <xf numFmtId="0" fontId="67" fillId="4" borderId="12" xfId="16" applyFont="1" applyFill="1" applyBorder="1" applyAlignment="1" applyProtection="1">
      <alignment horizontal="left"/>
      <protection hidden="1"/>
    </xf>
    <xf numFmtId="0" fontId="48" fillId="11" borderId="43" xfId="16" applyFont="1" applyFill="1" applyBorder="1" applyAlignment="1" applyProtection="1">
      <alignment horizontal="center" vertical="center"/>
      <protection hidden="1"/>
    </xf>
    <xf numFmtId="0" fontId="48" fillId="11" borderId="44" xfId="16" applyFont="1" applyFill="1" applyBorder="1" applyAlignment="1" applyProtection="1">
      <alignment horizontal="center" vertical="center"/>
      <protection hidden="1"/>
    </xf>
    <xf numFmtId="0" fontId="90" fillId="11" borderId="11" xfId="16" applyFont="1" applyFill="1" applyBorder="1" applyAlignment="1" applyProtection="1">
      <alignment horizontal="left" vertical="center" indent="10"/>
      <protection hidden="1"/>
    </xf>
    <xf numFmtId="0" fontId="90" fillId="11" borderId="20" xfId="16" applyFont="1" applyFill="1" applyBorder="1" applyAlignment="1" applyProtection="1">
      <alignment horizontal="left" vertical="center" indent="10"/>
      <protection hidden="1"/>
    </xf>
    <xf numFmtId="0" fontId="90" fillId="11" borderId="12" xfId="16" applyFont="1" applyFill="1" applyBorder="1" applyAlignment="1" applyProtection="1">
      <alignment horizontal="left" vertical="center" indent="10"/>
      <protection hidden="1"/>
    </xf>
    <xf numFmtId="0" fontId="3" fillId="9" borderId="0" xfId="0" applyFont="1" applyFill="1" applyAlignment="1" applyProtection="1">
      <alignment horizontal="left" vertical="center" wrapText="1"/>
      <protection hidden="1"/>
    </xf>
    <xf numFmtId="0" fontId="3" fillId="9" borderId="18" xfId="0" applyFont="1" applyFill="1" applyBorder="1" applyAlignment="1" applyProtection="1">
      <alignment horizontal="left" vertical="center" wrapText="1"/>
      <protection hidden="1"/>
    </xf>
    <xf numFmtId="0" fontId="3" fillId="9" borderId="0" xfId="0" applyFont="1" applyFill="1" applyAlignment="1" applyProtection="1">
      <alignment horizontal="left"/>
      <protection hidden="1"/>
    </xf>
    <xf numFmtId="0" fontId="3" fillId="9" borderId="18" xfId="0" applyFont="1" applyFill="1" applyBorder="1" applyAlignment="1" applyProtection="1">
      <alignment horizontal="left"/>
      <protection hidden="1"/>
    </xf>
    <xf numFmtId="0" fontId="3" fillId="9" borderId="0" xfId="0" applyFont="1" applyFill="1" applyAlignment="1" applyProtection="1">
      <alignment horizontal="right" vertical="center"/>
      <protection hidden="1"/>
    </xf>
    <xf numFmtId="0" fontId="3" fillId="9" borderId="0" xfId="0" applyFont="1" applyFill="1" applyAlignment="1" applyProtection="1">
      <alignment horizontal="left" vertical="center"/>
      <protection hidden="1"/>
    </xf>
    <xf numFmtId="0" fontId="3" fillId="9" borderId="18" xfId="0" applyFont="1" applyFill="1" applyBorder="1" applyAlignment="1" applyProtection="1">
      <alignment horizontal="left" vertical="center"/>
      <protection hidden="1"/>
    </xf>
    <xf numFmtId="0" fontId="59" fillId="0" borderId="0" xfId="0" applyFont="1" applyAlignment="1" applyProtection="1">
      <alignment horizontal="left" wrapText="1"/>
      <protection hidden="1"/>
    </xf>
    <xf numFmtId="0" fontId="3" fillId="9" borderId="0" xfId="0" applyFont="1" applyFill="1" applyAlignment="1" applyProtection="1">
      <alignment horizontal="center" vertical="center"/>
      <protection hidden="1"/>
    </xf>
    <xf numFmtId="0" fontId="4" fillId="0" borderId="0" xfId="0" applyFont="1" applyAlignment="1" applyProtection="1">
      <alignment horizontal="left"/>
      <protection hidden="1"/>
    </xf>
    <xf numFmtId="0" fontId="4" fillId="0" borderId="18" xfId="0" applyFont="1" applyBorder="1" applyAlignment="1" applyProtection="1">
      <alignment horizontal="left"/>
      <protection hidden="1"/>
    </xf>
    <xf numFmtId="0" fontId="66" fillId="18" borderId="11" xfId="0" applyFont="1" applyFill="1" applyBorder="1" applyAlignment="1" applyProtection="1">
      <alignment horizontal="right"/>
      <protection hidden="1"/>
    </xf>
    <xf numFmtId="0" fontId="66" fillId="18" borderId="20" xfId="0" applyFont="1" applyFill="1" applyBorder="1" applyAlignment="1" applyProtection="1">
      <alignment horizontal="right"/>
      <protection hidden="1"/>
    </xf>
    <xf numFmtId="0" fontId="66" fillId="18" borderId="12" xfId="0" applyFont="1" applyFill="1" applyBorder="1" applyAlignment="1" applyProtection="1">
      <alignment horizontal="right"/>
      <protection hidden="1"/>
    </xf>
    <xf numFmtId="0" fontId="50" fillId="20" borderId="17" xfId="0" applyFont="1" applyFill="1" applyBorder="1" applyAlignment="1" applyProtection="1">
      <alignment horizontal="left"/>
      <protection hidden="1"/>
    </xf>
    <xf numFmtId="0" fontId="50" fillId="20" borderId="0" xfId="0" applyFont="1" applyFill="1" applyAlignment="1" applyProtection="1">
      <alignment horizontal="left"/>
      <protection hidden="1"/>
    </xf>
    <xf numFmtId="0" fontId="75" fillId="20" borderId="11" xfId="0" applyFont="1" applyFill="1" applyBorder="1" applyAlignment="1" applyProtection="1">
      <alignment horizontal="right"/>
      <protection hidden="1"/>
    </xf>
    <xf numFmtId="0" fontId="75" fillId="20" borderId="20" xfId="0" applyFont="1" applyFill="1" applyBorder="1" applyAlignment="1" applyProtection="1">
      <alignment horizontal="right"/>
      <protection hidden="1"/>
    </xf>
    <xf numFmtId="0" fontId="50" fillId="19" borderId="17" xfId="0" applyFont="1" applyFill="1" applyBorder="1" applyAlignment="1" applyProtection="1">
      <alignment horizontal="left"/>
      <protection hidden="1"/>
    </xf>
    <xf numFmtId="0" fontId="50" fillId="19" borderId="0" xfId="0" applyFont="1" applyFill="1" applyAlignment="1" applyProtection="1">
      <alignment horizontal="left"/>
      <protection hidden="1"/>
    </xf>
    <xf numFmtId="0" fontId="75" fillId="19" borderId="17" xfId="0" applyFont="1" applyFill="1" applyBorder="1" applyAlignment="1" applyProtection="1">
      <alignment horizontal="right"/>
      <protection hidden="1"/>
    </xf>
    <xf numFmtId="0" fontId="75" fillId="19" borderId="0" xfId="0" applyFont="1" applyFill="1" applyAlignment="1" applyProtection="1">
      <alignment horizontal="right"/>
      <protection hidden="1"/>
    </xf>
    <xf numFmtId="0" fontId="75" fillId="19" borderId="37" xfId="0" applyFont="1" applyFill="1" applyBorder="1" applyAlignment="1" applyProtection="1">
      <alignment horizontal="right"/>
      <protection hidden="1"/>
    </xf>
    <xf numFmtId="0" fontId="75" fillId="19" borderId="23" xfId="0" applyFont="1" applyFill="1" applyBorder="1" applyAlignment="1" applyProtection="1">
      <alignment horizontal="right"/>
      <protection hidden="1"/>
    </xf>
    <xf numFmtId="0" fontId="50" fillId="19" borderId="17" xfId="0" applyFont="1" applyFill="1" applyBorder="1" applyAlignment="1" applyProtection="1">
      <alignment horizontal="left" vertical="center"/>
      <protection hidden="1"/>
    </xf>
    <xf numFmtId="0" fontId="50" fillId="19" borderId="0" xfId="0" applyFont="1" applyFill="1" applyAlignment="1" applyProtection="1">
      <alignment horizontal="left" vertical="center"/>
      <protection hidden="1"/>
    </xf>
    <xf numFmtId="0" fontId="75" fillId="19" borderId="11" xfId="0" applyFont="1" applyFill="1" applyBorder="1" applyAlignment="1" applyProtection="1">
      <alignment horizontal="right"/>
      <protection hidden="1"/>
    </xf>
    <xf numFmtId="0" fontId="75" fillId="19" borderId="20" xfId="0" applyFont="1" applyFill="1" applyBorder="1" applyAlignment="1" applyProtection="1">
      <alignment horizontal="right"/>
      <protection hidden="1"/>
    </xf>
    <xf numFmtId="0" fontId="50" fillId="20" borderId="37" xfId="0" applyFont="1" applyFill="1" applyBorder="1" applyAlignment="1" applyProtection="1">
      <alignment horizontal="left"/>
      <protection hidden="1"/>
    </xf>
    <xf numFmtId="0" fontId="50" fillId="20" borderId="23" xfId="0" applyFont="1" applyFill="1" applyBorder="1" applyAlignment="1" applyProtection="1">
      <alignment horizontal="left"/>
      <protection hidden="1"/>
    </xf>
    <xf numFmtId="0" fontId="75" fillId="26" borderId="11" xfId="0" applyFont="1" applyFill="1" applyBorder="1" applyAlignment="1" applyProtection="1">
      <alignment horizontal="right"/>
      <protection hidden="1"/>
    </xf>
    <xf numFmtId="0" fontId="75" fillId="26" borderId="20" xfId="0" applyFont="1" applyFill="1" applyBorder="1" applyAlignment="1" applyProtection="1">
      <alignment horizontal="right"/>
      <protection hidden="1"/>
    </xf>
    <xf numFmtId="0" fontId="75" fillId="26" borderId="12" xfId="0" applyFont="1" applyFill="1" applyBorder="1" applyAlignment="1" applyProtection="1">
      <alignment horizontal="right"/>
      <protection hidden="1"/>
    </xf>
    <xf numFmtId="0" fontId="75" fillId="20" borderId="19" xfId="0" applyFont="1" applyFill="1" applyBorder="1" applyAlignment="1" applyProtection="1">
      <alignment horizontal="left"/>
      <protection hidden="1"/>
    </xf>
    <xf numFmtId="0" fontId="75" fillId="20" borderId="22" xfId="0" applyFont="1" applyFill="1" applyBorder="1" applyAlignment="1" applyProtection="1">
      <alignment horizontal="left"/>
      <protection hidden="1"/>
    </xf>
    <xf numFmtId="0" fontId="50" fillId="20" borderId="19" xfId="0" applyFont="1" applyFill="1" applyBorder="1" applyAlignment="1" applyProtection="1">
      <alignment horizontal="left"/>
      <protection hidden="1"/>
    </xf>
    <xf numFmtId="0" fontId="50" fillId="20" borderId="22" xfId="0" applyFont="1" applyFill="1" applyBorder="1" applyAlignment="1" applyProtection="1">
      <alignment horizontal="left"/>
      <protection hidden="1"/>
    </xf>
    <xf numFmtId="0" fontId="75" fillId="9" borderId="11" xfId="0" applyFont="1" applyFill="1" applyBorder="1" applyAlignment="1" applyProtection="1">
      <alignment horizontal="center"/>
      <protection hidden="1"/>
    </xf>
    <xf numFmtId="0" fontId="75" fillId="9" borderId="20" xfId="0" applyFont="1" applyFill="1" applyBorder="1" applyAlignment="1" applyProtection="1">
      <alignment horizontal="center"/>
      <protection hidden="1"/>
    </xf>
    <xf numFmtId="0" fontId="75" fillId="9" borderId="12" xfId="0" applyFont="1" applyFill="1" applyBorder="1" applyAlignment="1" applyProtection="1">
      <alignment horizontal="center"/>
      <protection hidden="1"/>
    </xf>
    <xf numFmtId="0" fontId="75" fillId="17" borderId="11" xfId="0" applyFont="1" applyFill="1" applyBorder="1" applyAlignment="1" applyProtection="1">
      <alignment horizontal="right"/>
      <protection hidden="1"/>
    </xf>
    <xf numFmtId="0" fontId="75" fillId="17" borderId="20" xfId="0" applyFont="1" applyFill="1" applyBorder="1" applyAlignment="1" applyProtection="1">
      <alignment horizontal="right"/>
      <protection hidden="1"/>
    </xf>
    <xf numFmtId="0" fontId="75" fillId="17" borderId="12" xfId="0" applyFont="1" applyFill="1" applyBorder="1" applyAlignment="1" applyProtection="1">
      <alignment horizontal="right"/>
      <protection hidden="1"/>
    </xf>
    <xf numFmtId="0" fontId="50" fillId="17" borderId="17" xfId="0" applyFont="1" applyFill="1" applyBorder="1" applyAlignment="1" applyProtection="1">
      <alignment horizontal="left"/>
      <protection hidden="1"/>
    </xf>
    <xf numFmtId="0" fontId="50" fillId="17" borderId="0" xfId="0" applyFont="1" applyFill="1" applyAlignment="1" applyProtection="1">
      <alignment horizontal="left"/>
      <protection hidden="1"/>
    </xf>
    <xf numFmtId="0" fontId="75" fillId="20" borderId="11" xfId="0" applyFont="1" applyFill="1" applyBorder="1" applyAlignment="1" applyProtection="1">
      <alignment horizontal="center"/>
      <protection hidden="1"/>
    </xf>
    <xf numFmtId="0" fontId="75" fillId="20" borderId="20" xfId="0" applyFont="1" applyFill="1" applyBorder="1" applyAlignment="1" applyProtection="1">
      <alignment horizontal="center"/>
      <protection hidden="1"/>
    </xf>
    <xf numFmtId="0" fontId="75" fillId="20" borderId="12" xfId="0" applyFont="1" applyFill="1" applyBorder="1" applyAlignment="1" applyProtection="1">
      <alignment horizontal="center"/>
      <protection hidden="1"/>
    </xf>
    <xf numFmtId="0" fontId="0" fillId="9" borderId="0" xfId="0" applyFill="1" applyAlignment="1" applyProtection="1">
      <alignment horizontal="center"/>
      <protection hidden="1"/>
    </xf>
    <xf numFmtId="0" fontId="50" fillId="17" borderId="37" xfId="0" applyFont="1" applyFill="1" applyBorder="1" applyAlignment="1" applyProtection="1">
      <alignment horizontal="left"/>
      <protection hidden="1"/>
    </xf>
    <xf numFmtId="0" fontId="50" fillId="17" borderId="23" xfId="0" applyFont="1" applyFill="1" applyBorder="1" applyAlignment="1" applyProtection="1">
      <alignment horizontal="left"/>
      <protection hidden="1"/>
    </xf>
    <xf numFmtId="0" fontId="39" fillId="0" borderId="5" xfId="0" applyFont="1" applyBorder="1" applyAlignment="1" applyProtection="1">
      <alignment horizontal="center" vertical="center" wrapText="1"/>
      <protection hidden="1"/>
    </xf>
    <xf numFmtId="0" fontId="39" fillId="0" borderId="6" xfId="0" applyFont="1" applyBorder="1" applyAlignment="1" applyProtection="1">
      <alignment horizontal="center" vertical="center" wrapText="1"/>
      <protection hidden="1"/>
    </xf>
    <xf numFmtId="0" fontId="91" fillId="5" borderId="0" xfId="0" applyFont="1" applyFill="1" applyAlignment="1" applyProtection="1">
      <alignment horizontal="center" vertical="center" wrapText="1"/>
      <protection hidden="1"/>
    </xf>
    <xf numFmtId="0" fontId="91" fillId="5" borderId="18" xfId="0" applyFont="1" applyFill="1" applyBorder="1" applyAlignment="1" applyProtection="1">
      <alignment horizontal="center" vertical="center" wrapText="1"/>
      <protection hidden="1"/>
    </xf>
    <xf numFmtId="0" fontId="81" fillId="5" borderId="19" xfId="0" applyFont="1" applyFill="1" applyBorder="1" applyAlignment="1" applyProtection="1">
      <alignment horizontal="right" vertical="center" wrapText="1"/>
      <protection hidden="1"/>
    </xf>
    <xf numFmtId="0" fontId="81" fillId="5" borderId="37" xfId="0" applyFont="1" applyFill="1" applyBorder="1" applyAlignment="1" applyProtection="1">
      <alignment horizontal="right" vertical="center" wrapText="1"/>
      <protection hidden="1"/>
    </xf>
    <xf numFmtId="0" fontId="56" fillId="5" borderId="43" xfId="0" applyFont="1" applyFill="1" applyBorder="1" applyAlignment="1" applyProtection="1">
      <alignment horizontal="left" vertical="center" wrapText="1"/>
      <protection hidden="1"/>
    </xf>
    <xf numFmtId="0" fontId="56" fillId="5" borderId="44" xfId="0" applyFont="1" applyFill="1" applyBorder="1" applyAlignment="1" applyProtection="1">
      <alignment horizontal="left" vertical="center" wrapText="1"/>
      <protection hidden="1"/>
    </xf>
    <xf numFmtId="0" fontId="92" fillId="5" borderId="0" xfId="0" applyFont="1" applyFill="1" applyAlignment="1" applyProtection="1">
      <alignment horizontal="center" vertical="center" wrapText="1"/>
      <protection hidden="1"/>
    </xf>
    <xf numFmtId="0" fontId="92" fillId="5" borderId="18" xfId="0" applyFont="1" applyFill="1" applyBorder="1" applyAlignment="1" applyProtection="1">
      <alignment horizontal="center" vertical="center" wrapText="1"/>
      <protection hidden="1"/>
    </xf>
    <xf numFmtId="0" fontId="67" fillId="7" borderId="11" xfId="16" applyFont="1" applyFill="1" applyBorder="1" applyAlignment="1" applyProtection="1">
      <alignment horizontal="left"/>
      <protection hidden="1"/>
    </xf>
    <xf numFmtId="0" fontId="67" fillId="7" borderId="20" xfId="16" applyFont="1" applyFill="1" applyBorder="1" applyAlignment="1" applyProtection="1">
      <alignment horizontal="left"/>
      <protection hidden="1"/>
    </xf>
    <xf numFmtId="0" fontId="67" fillId="7" borderId="12" xfId="16" applyFont="1" applyFill="1" applyBorder="1" applyAlignment="1" applyProtection="1">
      <alignment horizontal="left"/>
      <protection hidden="1"/>
    </xf>
    <xf numFmtId="0" fontId="67" fillId="7" borderId="11" xfId="16" applyFont="1" applyFill="1" applyBorder="1" applyAlignment="1" applyProtection="1">
      <alignment horizontal="center"/>
      <protection hidden="1"/>
    </xf>
    <xf numFmtId="0" fontId="67" fillId="7" borderId="20" xfId="16" applyFont="1" applyFill="1" applyBorder="1" applyAlignment="1" applyProtection="1">
      <alignment horizontal="center"/>
      <protection hidden="1"/>
    </xf>
    <xf numFmtId="0" fontId="67" fillId="7" borderId="12" xfId="16" applyFont="1" applyFill="1" applyBorder="1" applyAlignment="1" applyProtection="1">
      <alignment horizontal="center"/>
      <protection hidden="1"/>
    </xf>
    <xf numFmtId="0" fontId="64" fillId="0" borderId="17" xfId="0" applyFont="1" applyBorder="1" applyAlignment="1" applyProtection="1">
      <alignment horizontal="left" vertical="center" textRotation="90"/>
      <protection hidden="1"/>
    </xf>
    <xf numFmtId="0" fontId="93" fillId="5" borderId="19" xfId="16" applyFont="1" applyFill="1" applyBorder="1" applyAlignment="1" applyProtection="1">
      <alignment horizontal="center" vertical="center"/>
      <protection hidden="1"/>
    </xf>
    <xf numFmtId="0" fontId="93" fillId="5" borderId="43" xfId="16" applyFont="1" applyFill="1" applyBorder="1" applyAlignment="1" applyProtection="1">
      <alignment horizontal="center" vertical="center"/>
      <protection hidden="1"/>
    </xf>
    <xf numFmtId="0" fontId="93" fillId="5" borderId="37" xfId="16" applyFont="1" applyFill="1" applyBorder="1" applyAlignment="1" applyProtection="1">
      <alignment horizontal="center" vertical="center"/>
      <protection hidden="1"/>
    </xf>
    <xf numFmtId="0" fontId="93" fillId="5" borderId="44" xfId="16" applyFont="1" applyFill="1" applyBorder="1" applyAlignment="1" applyProtection="1">
      <alignment horizontal="center" vertical="center"/>
      <protection hidden="1"/>
    </xf>
    <xf numFmtId="167" fontId="46" fillId="3" borderId="11" xfId="56" applyNumberFormat="1" applyFont="1" applyFill="1" applyBorder="1" applyAlignment="1" applyProtection="1">
      <alignment horizontal="center" vertical="center"/>
      <protection locked="0"/>
    </xf>
    <xf numFmtId="167" fontId="46" fillId="3" borderId="12" xfId="56" applyNumberFormat="1" applyFont="1" applyFill="1" applyBorder="1" applyAlignment="1" applyProtection="1">
      <alignment horizontal="center" vertical="center"/>
      <protection locked="0"/>
    </xf>
    <xf numFmtId="169" fontId="46" fillId="8" borderId="11" xfId="56" applyNumberFormat="1" applyFont="1" applyFill="1" applyBorder="1" applyAlignment="1" applyProtection="1">
      <alignment horizontal="right" vertical="center"/>
      <protection hidden="1"/>
    </xf>
    <xf numFmtId="169" fontId="46" fillId="8" borderId="12" xfId="56" applyNumberFormat="1" applyFont="1" applyFill="1" applyBorder="1" applyAlignment="1" applyProtection="1">
      <alignment horizontal="right" vertical="center"/>
      <protection hidden="1"/>
    </xf>
    <xf numFmtId="0" fontId="48" fillId="11" borderId="10" xfId="16" applyFont="1" applyFill="1" applyBorder="1" applyAlignment="1" applyProtection="1">
      <alignment horizontal="center" vertical="center" wrapText="1"/>
      <protection hidden="1"/>
    </xf>
    <xf numFmtId="0" fontId="48" fillId="11" borderId="16" xfId="16" applyFont="1" applyFill="1" applyBorder="1" applyAlignment="1" applyProtection="1">
      <alignment horizontal="center" vertical="center" wrapText="1"/>
      <protection hidden="1"/>
    </xf>
    <xf numFmtId="0" fontId="48" fillId="11" borderId="1" xfId="16" applyFont="1" applyFill="1" applyBorder="1" applyAlignment="1" applyProtection="1">
      <alignment horizontal="center" vertical="center" wrapText="1"/>
      <protection hidden="1"/>
    </xf>
    <xf numFmtId="0" fontId="48" fillId="11" borderId="19" xfId="16" applyFont="1" applyFill="1" applyBorder="1" applyAlignment="1" applyProtection="1">
      <alignment horizontal="center" vertical="center" wrapText="1"/>
      <protection hidden="1"/>
    </xf>
    <xf numFmtId="0" fontId="48" fillId="11" borderId="37" xfId="16" applyFont="1" applyFill="1" applyBorder="1" applyAlignment="1" applyProtection="1">
      <alignment horizontal="center" vertical="center" wrapText="1"/>
      <protection hidden="1"/>
    </xf>
    <xf numFmtId="169" fontId="46" fillId="8" borderId="1" xfId="56" applyNumberFormat="1" applyFont="1" applyFill="1" applyBorder="1" applyAlignment="1" applyProtection="1">
      <alignment horizontal="right" vertical="center"/>
      <protection hidden="1"/>
    </xf>
    <xf numFmtId="167" fontId="46" fillId="3" borderId="19" xfId="56" applyNumberFormat="1" applyFont="1" applyFill="1" applyBorder="1" applyAlignment="1" applyProtection="1">
      <alignment horizontal="center" vertical="center" wrapText="1"/>
      <protection hidden="1"/>
    </xf>
    <xf numFmtId="167" fontId="46" fillId="3" borderId="43" xfId="56" applyNumberFormat="1" applyFont="1" applyFill="1" applyBorder="1" applyAlignment="1" applyProtection="1">
      <alignment horizontal="center" vertical="center" wrapText="1"/>
      <protection hidden="1"/>
    </xf>
    <xf numFmtId="167" fontId="46" fillId="3" borderId="17" xfId="56" applyNumberFormat="1" applyFont="1" applyFill="1" applyBorder="1" applyAlignment="1" applyProtection="1">
      <alignment horizontal="center" vertical="center" wrapText="1"/>
      <protection hidden="1"/>
    </xf>
    <xf numFmtId="167" fontId="46" fillId="3" borderId="18" xfId="56" applyNumberFormat="1" applyFont="1" applyFill="1" applyBorder="1" applyAlignment="1" applyProtection="1">
      <alignment horizontal="center" vertical="center" wrapText="1"/>
      <protection hidden="1"/>
    </xf>
    <xf numFmtId="167" fontId="46" fillId="3" borderId="37" xfId="56" applyNumberFormat="1" applyFont="1" applyFill="1" applyBorder="1" applyAlignment="1" applyProtection="1">
      <alignment horizontal="center" vertical="center" wrapText="1"/>
      <protection hidden="1"/>
    </xf>
    <xf numFmtId="167" fontId="46" fillId="3" borderId="44" xfId="56" applyNumberFormat="1" applyFont="1" applyFill="1" applyBorder="1" applyAlignment="1" applyProtection="1">
      <alignment horizontal="center" vertical="center" wrapText="1"/>
      <protection hidden="1"/>
    </xf>
    <xf numFmtId="0" fontId="48" fillId="5" borderId="1" xfId="16" applyFont="1" applyFill="1" applyBorder="1" applyAlignment="1" applyProtection="1">
      <alignment horizontal="center" vertical="center"/>
      <protection hidden="1"/>
    </xf>
    <xf numFmtId="0" fontId="48" fillId="5" borderId="10" xfId="16" applyFont="1" applyFill="1" applyBorder="1" applyAlignment="1" applyProtection="1">
      <alignment horizontal="center" vertical="center" wrapText="1"/>
      <protection hidden="1"/>
    </xf>
    <xf numFmtId="0" fontId="48" fillId="5" borderId="16" xfId="16" applyFont="1" applyFill="1" applyBorder="1" applyAlignment="1" applyProtection="1">
      <alignment horizontal="center" vertical="center" wrapText="1"/>
      <protection hidden="1"/>
    </xf>
    <xf numFmtId="0" fontId="48" fillId="5" borderId="19" xfId="16" applyFont="1" applyFill="1" applyBorder="1" applyAlignment="1" applyProtection="1">
      <alignment horizontal="center" vertical="center"/>
      <protection hidden="1"/>
    </xf>
    <xf numFmtId="0" fontId="48" fillId="5" borderId="22" xfId="16" applyFont="1" applyFill="1" applyBorder="1" applyAlignment="1" applyProtection="1">
      <alignment horizontal="center" vertical="center"/>
      <protection hidden="1"/>
    </xf>
    <xf numFmtId="0" fontId="48" fillId="5" borderId="43" xfId="16" applyFont="1" applyFill="1" applyBorder="1" applyAlignment="1" applyProtection="1">
      <alignment horizontal="center" vertical="center"/>
      <protection hidden="1"/>
    </xf>
    <xf numFmtId="0" fontId="48" fillId="5" borderId="37" xfId="16" applyFont="1" applyFill="1" applyBorder="1" applyAlignment="1" applyProtection="1">
      <alignment horizontal="center" vertical="center"/>
      <protection hidden="1"/>
    </xf>
    <xf numFmtId="0" fontId="48" fillId="5" borderId="23" xfId="16" applyFont="1" applyFill="1" applyBorder="1" applyAlignment="1" applyProtection="1">
      <alignment horizontal="center" vertical="center"/>
      <protection hidden="1"/>
    </xf>
    <xf numFmtId="0" fontId="48" fillId="5" borderId="44" xfId="16" applyFont="1" applyFill="1" applyBorder="1" applyAlignment="1" applyProtection="1">
      <alignment horizontal="center" vertical="center"/>
      <protection hidden="1"/>
    </xf>
    <xf numFmtId="0" fontId="64" fillId="0" borderId="0" xfId="0" applyFont="1" applyAlignment="1" applyProtection="1">
      <alignment horizontal="left" vertical="center" textRotation="90"/>
      <protection hidden="1"/>
    </xf>
    <xf numFmtId="0" fontId="53" fillId="0" borderId="1" xfId="0" applyFont="1" applyBorder="1" applyAlignment="1">
      <alignment horizontal="center"/>
    </xf>
    <xf numFmtId="0" fontId="92" fillId="5" borderId="11" xfId="0" applyFont="1" applyFill="1" applyBorder="1" applyAlignment="1">
      <alignment horizontal="center" vertical="center" wrapText="1"/>
    </xf>
    <xf numFmtId="0" fontId="92" fillId="5" borderId="20" xfId="0" applyFont="1" applyFill="1" applyBorder="1" applyAlignment="1">
      <alignment horizontal="center" vertical="center" wrapText="1"/>
    </xf>
    <xf numFmtId="0" fontId="92" fillId="5" borderId="12" xfId="0" applyFont="1" applyFill="1" applyBorder="1" applyAlignment="1">
      <alignment horizontal="center" vertical="center" wrapText="1"/>
    </xf>
    <xf numFmtId="0" fontId="37" fillId="5" borderId="10" xfId="18" applyFont="1" applyFill="1" applyBorder="1" applyAlignment="1">
      <alignment horizontal="center" vertical="center" wrapText="1"/>
    </xf>
    <xf numFmtId="0" fontId="37" fillId="5" borderId="16" xfId="18" applyFont="1" applyFill="1" applyBorder="1" applyAlignment="1">
      <alignment horizontal="center" vertical="center" wrapText="1"/>
    </xf>
    <xf numFmtId="0" fontId="53" fillId="0" borderId="11" xfId="0" applyFont="1" applyBorder="1" applyAlignment="1">
      <alignment horizontal="center"/>
    </xf>
    <xf numFmtId="0" fontId="53" fillId="0" borderId="20" xfId="0" applyFont="1" applyBorder="1" applyAlignment="1">
      <alignment horizontal="center"/>
    </xf>
    <xf numFmtId="0" fontId="53" fillId="0" borderId="12" xfId="0" applyFont="1" applyBorder="1" applyAlignment="1">
      <alignment horizontal="center"/>
    </xf>
    <xf numFmtId="0" fontId="48" fillId="11" borderId="35" xfId="16" applyFont="1" applyFill="1" applyBorder="1" applyAlignment="1" applyProtection="1">
      <alignment horizontal="center" vertical="center"/>
      <protection hidden="1"/>
    </xf>
    <xf numFmtId="0" fontId="48" fillId="11" borderId="47" xfId="16" applyFont="1" applyFill="1" applyBorder="1" applyAlignment="1" applyProtection="1">
      <alignment horizontal="center" vertical="center"/>
      <protection hidden="1"/>
    </xf>
    <xf numFmtId="0" fontId="68" fillId="11" borderId="0" xfId="16" applyFont="1" applyFill="1" applyAlignment="1" applyProtection="1">
      <alignment horizontal="center" vertical="center"/>
      <protection hidden="1"/>
    </xf>
    <xf numFmtId="0" fontId="68" fillId="11" borderId="18" xfId="16" applyFont="1" applyFill="1" applyBorder="1" applyAlignment="1" applyProtection="1">
      <alignment horizontal="center" vertical="center"/>
      <protection hidden="1"/>
    </xf>
    <xf numFmtId="0" fontId="67" fillId="22" borderId="45" xfId="16" applyFont="1" applyFill="1" applyBorder="1" applyAlignment="1" applyProtection="1">
      <alignment horizontal="center" vertical="center"/>
      <protection hidden="1"/>
    </xf>
    <xf numFmtId="0" fontId="67" fillId="22" borderId="22" xfId="16" applyFont="1" applyFill="1" applyBorder="1" applyAlignment="1" applyProtection="1">
      <alignment horizontal="center" vertical="center"/>
      <protection hidden="1"/>
    </xf>
    <xf numFmtId="0" fontId="67" fillId="22" borderId="43" xfId="16" applyFont="1" applyFill="1" applyBorder="1" applyAlignment="1" applyProtection="1">
      <alignment horizontal="center" vertical="center"/>
      <protection hidden="1"/>
    </xf>
    <xf numFmtId="0" fontId="67" fillId="22" borderId="2" xfId="16" applyFont="1" applyFill="1" applyBorder="1" applyAlignment="1" applyProtection="1">
      <alignment horizontal="center" vertical="center"/>
      <protection hidden="1"/>
    </xf>
    <xf numFmtId="0" fontId="67" fillId="22" borderId="0" xfId="16" applyFont="1" applyFill="1" applyAlignment="1" applyProtection="1">
      <alignment horizontal="center" vertical="center"/>
      <protection hidden="1"/>
    </xf>
    <xf numFmtId="0" fontId="67" fillId="22" borderId="18" xfId="16" applyFont="1" applyFill="1" applyBorder="1" applyAlignment="1" applyProtection="1">
      <alignment horizontal="center" vertical="center"/>
      <protection hidden="1"/>
    </xf>
    <xf numFmtId="0" fontId="67" fillId="22" borderId="46" xfId="16" applyFont="1" applyFill="1" applyBorder="1" applyAlignment="1" applyProtection="1">
      <alignment horizontal="center" vertical="center"/>
      <protection hidden="1"/>
    </xf>
    <xf numFmtId="0" fontId="67" fillId="22" borderId="23" xfId="16" applyFont="1" applyFill="1" applyBorder="1" applyAlignment="1" applyProtection="1">
      <alignment horizontal="center" vertical="center"/>
      <protection hidden="1"/>
    </xf>
    <xf numFmtId="0" fontId="67" fillId="22" borderId="44" xfId="16" applyFont="1" applyFill="1" applyBorder="1" applyAlignment="1" applyProtection="1">
      <alignment horizontal="center" vertical="center"/>
      <protection hidden="1"/>
    </xf>
    <xf numFmtId="0" fontId="67" fillId="22" borderId="1" xfId="16" applyFont="1" applyFill="1" applyBorder="1" applyAlignment="1" applyProtection="1">
      <alignment horizontal="center" vertical="center"/>
      <protection hidden="1"/>
    </xf>
    <xf numFmtId="0" fontId="48" fillId="11" borderId="48" xfId="16" applyFont="1" applyFill="1" applyBorder="1" applyAlignment="1" applyProtection="1">
      <alignment horizontal="center" vertical="center"/>
      <protection hidden="1"/>
    </xf>
    <xf numFmtId="0" fontId="48" fillId="11" borderId="16" xfId="16" applyFont="1" applyFill="1" applyBorder="1" applyAlignment="1" applyProtection="1">
      <alignment horizontal="center" vertical="center"/>
      <protection hidden="1"/>
    </xf>
    <xf numFmtId="0" fontId="48" fillId="21" borderId="48" xfId="16" applyFont="1" applyFill="1" applyBorder="1" applyAlignment="1" applyProtection="1">
      <alignment horizontal="center" vertical="center"/>
      <protection hidden="1"/>
    </xf>
    <xf numFmtId="0" fontId="48" fillId="21" borderId="21" xfId="16" applyFont="1" applyFill="1" applyBorder="1" applyAlignment="1" applyProtection="1">
      <alignment horizontal="center" vertical="center"/>
      <protection hidden="1"/>
    </xf>
    <xf numFmtId="0" fontId="48" fillId="21" borderId="35" xfId="16" applyFont="1" applyFill="1" applyBorder="1" applyAlignment="1" applyProtection="1">
      <alignment horizontal="center" vertical="center"/>
      <protection hidden="1"/>
    </xf>
    <xf numFmtId="0" fontId="48" fillId="21" borderId="47" xfId="16" applyFont="1" applyFill="1" applyBorder="1" applyAlignment="1" applyProtection="1">
      <alignment horizontal="center" vertical="center"/>
      <protection hidden="1"/>
    </xf>
    <xf numFmtId="0" fontId="67" fillId="21" borderId="7" xfId="16" applyFont="1" applyFill="1" applyBorder="1" applyAlignment="1" applyProtection="1">
      <alignment horizontal="center" vertical="center"/>
      <protection hidden="1"/>
    </xf>
    <xf numFmtId="0" fontId="67" fillId="21" borderId="9" xfId="16" applyFont="1" applyFill="1" applyBorder="1" applyAlignment="1" applyProtection="1">
      <alignment horizontal="center" vertical="center"/>
      <protection hidden="1"/>
    </xf>
    <xf numFmtId="0" fontId="67" fillId="21" borderId="49" xfId="16" applyFont="1" applyFill="1" applyBorder="1" applyAlignment="1" applyProtection="1">
      <alignment horizontal="center" vertical="center"/>
      <protection hidden="1"/>
    </xf>
    <xf numFmtId="0" fontId="67" fillId="21" borderId="2" xfId="16" applyFont="1" applyFill="1" applyBorder="1" applyAlignment="1" applyProtection="1">
      <alignment horizontal="center" vertical="center"/>
      <protection hidden="1"/>
    </xf>
    <xf numFmtId="0" fontId="67" fillId="21" borderId="0" xfId="16" applyFont="1" applyFill="1" applyAlignment="1" applyProtection="1">
      <alignment horizontal="center" vertical="center"/>
      <protection hidden="1"/>
    </xf>
    <xf numFmtId="0" fontId="67" fillId="21" borderId="18" xfId="16" applyFont="1" applyFill="1" applyBorder="1" applyAlignment="1" applyProtection="1">
      <alignment horizontal="center" vertical="center"/>
      <protection hidden="1"/>
    </xf>
    <xf numFmtId="0" fontId="67" fillId="21" borderId="4" xfId="16" applyFont="1" applyFill="1" applyBorder="1" applyAlignment="1" applyProtection="1">
      <alignment horizontal="center" vertical="center"/>
      <protection hidden="1"/>
    </xf>
    <xf numFmtId="0" fontId="67" fillId="21" borderId="5" xfId="16" applyFont="1" applyFill="1" applyBorder="1" applyAlignment="1" applyProtection="1">
      <alignment horizontal="center" vertical="center"/>
      <protection hidden="1"/>
    </xf>
    <xf numFmtId="0" fontId="67" fillId="21" borderId="50" xfId="16" applyFont="1" applyFill="1" applyBorder="1" applyAlignment="1" applyProtection="1">
      <alignment horizontal="center" vertical="center"/>
      <protection hidden="1"/>
    </xf>
    <xf numFmtId="0" fontId="48" fillId="5" borderId="10" xfId="0" applyFont="1" applyFill="1" applyBorder="1" applyAlignment="1" applyProtection="1">
      <alignment horizontal="center" vertical="center" wrapText="1"/>
      <protection hidden="1"/>
    </xf>
    <xf numFmtId="0" fontId="48" fillId="5" borderId="16" xfId="0" applyFont="1" applyFill="1" applyBorder="1" applyAlignment="1" applyProtection="1">
      <alignment horizontal="center" vertical="center" wrapText="1"/>
      <protection hidden="1"/>
    </xf>
    <xf numFmtId="0" fontId="48" fillId="21" borderId="55" xfId="16" applyFont="1" applyFill="1" applyBorder="1" applyAlignment="1" applyProtection="1">
      <alignment horizontal="center" vertical="center"/>
      <protection hidden="1"/>
    </xf>
    <xf numFmtId="0" fontId="48" fillId="21" borderId="51" xfId="16" applyFont="1" applyFill="1" applyBorder="1" applyAlignment="1" applyProtection="1">
      <alignment horizontal="center" vertical="center"/>
      <protection hidden="1"/>
    </xf>
    <xf numFmtId="0" fontId="48" fillId="21" borderId="27" xfId="16" applyFont="1" applyFill="1" applyBorder="1" applyAlignment="1" applyProtection="1">
      <alignment horizontal="center" vertical="center"/>
      <protection hidden="1"/>
    </xf>
    <xf numFmtId="0" fontId="48" fillId="21" borderId="53" xfId="16" applyFont="1" applyFill="1" applyBorder="1" applyAlignment="1" applyProtection="1">
      <alignment horizontal="center" vertical="center"/>
      <protection hidden="1"/>
    </xf>
    <xf numFmtId="0" fontId="48" fillId="21" borderId="10" xfId="16" applyFont="1" applyFill="1" applyBorder="1" applyAlignment="1" applyProtection="1">
      <alignment horizontal="center" vertical="center"/>
      <protection hidden="1"/>
    </xf>
    <xf numFmtId="167" fontId="46" fillId="13" borderId="10" xfId="56" applyNumberFormat="1" applyFont="1" applyFill="1" applyBorder="1" applyAlignment="1" applyProtection="1">
      <alignment horizontal="center" vertical="center"/>
      <protection locked="0"/>
    </xf>
    <xf numFmtId="167" fontId="46" fillId="13" borderId="16" xfId="56" applyNumberFormat="1" applyFont="1" applyFill="1" applyBorder="1" applyAlignment="1" applyProtection="1">
      <alignment horizontal="center" vertical="center"/>
      <protection locked="0"/>
    </xf>
    <xf numFmtId="9" fontId="46" fillId="13" borderId="10" xfId="30" applyFont="1" applyFill="1" applyBorder="1" applyAlignment="1" applyProtection="1">
      <alignment horizontal="center" vertical="center"/>
      <protection locked="0"/>
    </xf>
    <xf numFmtId="9" fontId="46" fillId="13" borderId="16" xfId="30" applyFont="1" applyFill="1" applyBorder="1" applyAlignment="1" applyProtection="1">
      <alignment horizontal="center" vertical="center"/>
      <protection locked="0"/>
    </xf>
    <xf numFmtId="0" fontId="48" fillId="0" borderId="0" xfId="16" applyFont="1" applyAlignment="1" applyProtection="1">
      <alignment horizontal="center" vertical="center"/>
      <protection hidden="1"/>
    </xf>
    <xf numFmtId="0" fontId="67" fillId="21" borderId="51" xfId="16" applyFont="1" applyFill="1" applyBorder="1" applyAlignment="1" applyProtection="1">
      <alignment horizontal="center" vertical="center"/>
      <protection hidden="1"/>
    </xf>
    <xf numFmtId="0" fontId="67" fillId="21" borderId="27" xfId="16" applyFont="1" applyFill="1" applyBorder="1" applyAlignment="1" applyProtection="1">
      <alignment horizontal="center" vertical="center"/>
      <protection hidden="1"/>
    </xf>
    <xf numFmtId="0" fontId="67" fillId="21" borderId="52" xfId="16" applyFont="1" applyFill="1" applyBorder="1" applyAlignment="1" applyProtection="1">
      <alignment horizontal="center" vertical="center"/>
      <protection hidden="1"/>
    </xf>
    <xf numFmtId="0" fontId="67" fillId="21" borderId="1" xfId="16" applyFont="1" applyFill="1" applyBorder="1" applyAlignment="1" applyProtection="1">
      <alignment horizontal="center" vertical="center"/>
      <protection hidden="1"/>
    </xf>
    <xf numFmtId="0" fontId="67" fillId="21" borderId="53" xfId="16" applyFont="1" applyFill="1" applyBorder="1" applyAlignment="1" applyProtection="1">
      <alignment horizontal="center" vertical="center"/>
      <protection hidden="1"/>
    </xf>
    <xf numFmtId="0" fontId="67" fillId="21" borderId="10" xfId="16" applyFont="1" applyFill="1" applyBorder="1" applyAlignment="1" applyProtection="1">
      <alignment horizontal="center" vertical="center"/>
      <protection hidden="1"/>
    </xf>
    <xf numFmtId="0" fontId="48" fillId="11" borderId="11" xfId="16" applyFont="1" applyFill="1" applyBorder="1" applyAlignment="1" applyProtection="1">
      <alignment horizontal="center" vertical="center"/>
      <protection hidden="1"/>
    </xf>
    <xf numFmtId="0" fontId="48" fillId="11" borderId="12" xfId="16" applyFont="1" applyFill="1" applyBorder="1" applyAlignment="1" applyProtection="1">
      <alignment horizontal="center" vertical="center"/>
      <protection hidden="1"/>
    </xf>
    <xf numFmtId="0" fontId="48" fillId="11" borderId="10" xfId="16" applyFont="1" applyFill="1" applyBorder="1" applyAlignment="1" applyProtection="1">
      <alignment horizontal="center" vertical="center"/>
      <protection hidden="1"/>
    </xf>
    <xf numFmtId="0" fontId="67" fillId="22" borderId="7" xfId="16" applyFont="1" applyFill="1" applyBorder="1" applyAlignment="1" applyProtection="1">
      <alignment horizontal="center" vertical="center"/>
      <protection hidden="1"/>
    </xf>
    <xf numFmtId="0" fontId="67" fillId="22" borderId="9" xfId="16" applyFont="1" applyFill="1" applyBorder="1" applyAlignment="1" applyProtection="1">
      <alignment horizontal="center" vertical="center"/>
      <protection hidden="1"/>
    </xf>
    <xf numFmtId="0" fontId="67" fillId="22" borderId="49" xfId="16" applyFont="1" applyFill="1" applyBorder="1" applyAlignment="1" applyProtection="1">
      <alignment horizontal="center" vertical="center"/>
      <protection hidden="1"/>
    </xf>
    <xf numFmtId="0" fontId="67" fillId="22" borderId="4" xfId="16" applyFont="1" applyFill="1" applyBorder="1" applyAlignment="1" applyProtection="1">
      <alignment horizontal="center" vertical="center"/>
      <protection hidden="1"/>
    </xf>
    <xf numFmtId="0" fontId="67" fillId="22" borderId="5" xfId="16" applyFont="1" applyFill="1" applyBorder="1" applyAlignment="1" applyProtection="1">
      <alignment horizontal="center" vertical="center"/>
      <protection hidden="1"/>
    </xf>
    <xf numFmtId="0" fontId="67" fillId="22" borderId="50" xfId="16" applyFont="1" applyFill="1" applyBorder="1" applyAlignment="1" applyProtection="1">
      <alignment horizontal="center" vertical="center"/>
      <protection hidden="1"/>
    </xf>
    <xf numFmtId="0" fontId="67" fillId="22" borderId="51" xfId="16" applyFont="1" applyFill="1" applyBorder="1" applyAlignment="1" applyProtection="1">
      <alignment horizontal="center" vertical="center"/>
      <protection hidden="1"/>
    </xf>
    <xf numFmtId="0" fontId="67" fillId="22" borderId="27" xfId="16" applyFont="1" applyFill="1" applyBorder="1" applyAlignment="1" applyProtection="1">
      <alignment horizontal="center" vertical="center"/>
      <protection hidden="1"/>
    </xf>
    <xf numFmtId="0" fontId="67" fillId="22" borderId="52" xfId="16" applyFont="1" applyFill="1" applyBorder="1" applyAlignment="1" applyProtection="1">
      <alignment horizontal="center" vertical="center"/>
      <protection hidden="1"/>
    </xf>
    <xf numFmtId="0" fontId="67" fillId="22" borderId="54" xfId="16" applyFont="1" applyFill="1" applyBorder="1" applyAlignment="1" applyProtection="1">
      <alignment horizontal="center" vertical="center"/>
      <protection hidden="1"/>
    </xf>
    <xf numFmtId="0" fontId="67" fillId="22" borderId="30" xfId="16" applyFont="1" applyFill="1" applyBorder="1" applyAlignment="1" applyProtection="1">
      <alignment horizontal="center" vertical="center"/>
      <protection hidden="1"/>
    </xf>
    <xf numFmtId="0" fontId="48" fillId="11" borderId="55" xfId="16" applyFont="1" applyFill="1" applyBorder="1" applyAlignment="1" applyProtection="1">
      <alignment horizontal="center" vertical="center"/>
      <protection hidden="1"/>
    </xf>
    <xf numFmtId="0" fontId="48" fillId="11" borderId="51" xfId="16" applyFont="1" applyFill="1" applyBorder="1" applyAlignment="1" applyProtection="1">
      <alignment horizontal="center" vertical="center"/>
      <protection hidden="1"/>
    </xf>
    <xf numFmtId="0" fontId="48" fillId="11" borderId="27" xfId="16" applyFont="1" applyFill="1" applyBorder="1" applyAlignment="1" applyProtection="1">
      <alignment horizontal="center" vertical="center"/>
      <protection hidden="1"/>
    </xf>
    <xf numFmtId="0" fontId="48" fillId="11" borderId="52" xfId="16" applyFont="1" applyFill="1" applyBorder="1" applyAlignment="1" applyProtection="1">
      <alignment horizontal="center" vertical="center"/>
      <protection hidden="1"/>
    </xf>
    <xf numFmtId="0" fontId="48" fillId="11" borderId="21" xfId="16" applyFont="1" applyFill="1" applyBorder="1" applyAlignment="1" applyProtection="1">
      <alignment horizontal="center" vertical="center"/>
      <protection hidden="1"/>
    </xf>
    <xf numFmtId="0" fontId="48" fillId="5" borderId="19" xfId="0" applyFont="1" applyFill="1" applyBorder="1" applyAlignment="1" applyProtection="1">
      <alignment horizontal="center" vertical="center" wrapText="1"/>
      <protection hidden="1"/>
    </xf>
    <xf numFmtId="0" fontId="48" fillId="5" borderId="22" xfId="0" applyFont="1" applyFill="1" applyBorder="1" applyAlignment="1" applyProtection="1">
      <alignment horizontal="center" vertical="center" wrapText="1"/>
      <protection hidden="1"/>
    </xf>
    <xf numFmtId="0" fontId="48" fillId="5" borderId="43" xfId="0" applyFont="1" applyFill="1" applyBorder="1" applyAlignment="1" applyProtection="1">
      <alignment horizontal="center" vertical="center" wrapText="1"/>
      <protection hidden="1"/>
    </xf>
    <xf numFmtId="0" fontId="48" fillId="5" borderId="37" xfId="0" applyFont="1" applyFill="1" applyBorder="1" applyAlignment="1" applyProtection="1">
      <alignment horizontal="center" vertical="center" wrapText="1"/>
      <protection hidden="1"/>
    </xf>
    <xf numFmtId="0" fontId="48" fillId="5" borderId="23" xfId="0" applyFont="1" applyFill="1" applyBorder="1" applyAlignment="1" applyProtection="1">
      <alignment horizontal="center" vertical="center" wrapText="1"/>
      <protection hidden="1"/>
    </xf>
    <xf numFmtId="0" fontId="48" fillId="5" borderId="44" xfId="0" applyFont="1" applyFill="1" applyBorder="1" applyAlignment="1" applyProtection="1">
      <alignment horizontal="center" vertical="center" wrapText="1"/>
      <protection hidden="1"/>
    </xf>
    <xf numFmtId="0" fontId="52" fillId="8" borderId="13" xfId="0" applyFont="1" applyFill="1" applyBorder="1" applyAlignment="1">
      <alignment horizontal="center" vertical="center"/>
    </xf>
    <xf numFmtId="0" fontId="52" fillId="8" borderId="14" xfId="0" applyFont="1" applyFill="1" applyBorder="1" applyAlignment="1">
      <alignment horizontal="center" vertical="center"/>
    </xf>
    <xf numFmtId="0" fontId="52" fillId="8" borderId="15" xfId="0" applyFont="1" applyFill="1" applyBorder="1" applyAlignment="1">
      <alignment horizontal="center" vertical="center"/>
    </xf>
    <xf numFmtId="0" fontId="92" fillId="5" borderId="1" xfId="0" applyFont="1" applyFill="1" applyBorder="1" applyAlignment="1">
      <alignment horizontal="center" vertical="center" wrapText="1"/>
    </xf>
    <xf numFmtId="0" fontId="56" fillId="5" borderId="37" xfId="0" applyFont="1" applyFill="1" applyBorder="1" applyAlignment="1">
      <alignment horizontal="center" vertical="center" wrapText="1"/>
    </xf>
    <xf numFmtId="0" fontId="56" fillId="5" borderId="23" xfId="0" applyFont="1" applyFill="1" applyBorder="1" applyAlignment="1">
      <alignment horizontal="center" vertical="center" wrapText="1"/>
    </xf>
    <xf numFmtId="0" fontId="56" fillId="5" borderId="44" xfId="0" applyFont="1" applyFill="1" applyBorder="1" applyAlignment="1">
      <alignment horizontal="center" vertical="center" wrapText="1"/>
    </xf>
    <xf numFmtId="0" fontId="92" fillId="5" borderId="19" xfId="0" applyFont="1" applyFill="1" applyBorder="1" applyAlignment="1">
      <alignment horizontal="center" vertical="center" wrapText="1"/>
    </xf>
    <xf numFmtId="0" fontId="92" fillId="5" borderId="22" xfId="0" applyFont="1" applyFill="1" applyBorder="1" applyAlignment="1">
      <alignment horizontal="center" vertical="center" wrapText="1"/>
    </xf>
    <xf numFmtId="0" fontId="92" fillId="5" borderId="43" xfId="0" applyFont="1" applyFill="1" applyBorder="1" applyAlignment="1">
      <alignment horizontal="center" vertical="center" wrapText="1"/>
    </xf>
    <xf numFmtId="0" fontId="48" fillId="11" borderId="11" xfId="0" applyFont="1" applyFill="1" applyBorder="1" applyAlignment="1">
      <alignment horizontal="center"/>
    </xf>
    <xf numFmtId="0" fontId="48" fillId="11" borderId="12" xfId="0" applyFont="1" applyFill="1" applyBorder="1" applyAlignment="1">
      <alignment horizontal="center"/>
    </xf>
    <xf numFmtId="0" fontId="48" fillId="11" borderId="1" xfId="0" applyFont="1" applyFill="1" applyBorder="1" applyAlignment="1">
      <alignment horizontal="center"/>
    </xf>
    <xf numFmtId="167" fontId="46" fillId="8" borderId="32" xfId="56" applyNumberFormat="1" applyFont="1" applyFill="1" applyBorder="1" applyAlignment="1" applyProtection="1">
      <alignment horizontal="center" vertical="center"/>
      <protection hidden="1"/>
    </xf>
    <xf numFmtId="167" fontId="46" fillId="8" borderId="29" xfId="56" applyNumberFormat="1" applyFont="1" applyFill="1" applyBorder="1" applyAlignment="1" applyProtection="1">
      <alignment horizontal="center" vertical="center"/>
      <protection hidden="1"/>
    </xf>
    <xf numFmtId="167" fontId="46" fillId="8" borderId="31" xfId="56" applyNumberFormat="1" applyFont="1" applyFill="1" applyBorder="1" applyAlignment="1" applyProtection="1">
      <alignment horizontal="center" vertical="center"/>
      <protection hidden="1"/>
    </xf>
    <xf numFmtId="167" fontId="46" fillId="8" borderId="49" xfId="56" applyNumberFormat="1" applyFont="1" applyFill="1" applyBorder="1" applyAlignment="1" applyProtection="1">
      <alignment horizontal="center" vertical="center"/>
      <protection hidden="1"/>
    </xf>
    <xf numFmtId="167" fontId="46" fillId="8" borderId="18" xfId="56" applyNumberFormat="1" applyFont="1" applyFill="1" applyBorder="1" applyAlignment="1" applyProtection="1">
      <alignment horizontal="center" vertical="center"/>
      <protection hidden="1"/>
    </xf>
    <xf numFmtId="167" fontId="46" fillId="8" borderId="50" xfId="56" applyNumberFormat="1" applyFont="1" applyFill="1" applyBorder="1" applyAlignment="1" applyProtection="1">
      <alignment horizontal="center" vertical="center"/>
      <protection hidden="1"/>
    </xf>
    <xf numFmtId="167" fontId="46" fillId="8" borderId="48" xfId="56" applyNumberFormat="1" applyFont="1" applyFill="1" applyBorder="1" applyAlignment="1" applyProtection="1">
      <alignment horizontal="center" vertical="center"/>
      <protection hidden="1"/>
    </xf>
    <xf numFmtId="167" fontId="46" fillId="8" borderId="21" xfId="56" applyNumberFormat="1" applyFont="1" applyFill="1" applyBorder="1" applyAlignment="1" applyProtection="1">
      <alignment horizontal="center" vertical="center"/>
      <protection hidden="1"/>
    </xf>
    <xf numFmtId="167" fontId="46" fillId="8" borderId="56" xfId="56" applyNumberFormat="1" applyFont="1" applyFill="1" applyBorder="1" applyAlignment="1" applyProtection="1">
      <alignment horizontal="center" vertical="center"/>
      <protection hidden="1"/>
    </xf>
    <xf numFmtId="167" fontId="46" fillId="8" borderId="60" xfId="56" applyNumberFormat="1" applyFont="1" applyFill="1" applyBorder="1" applyAlignment="1" applyProtection="1">
      <alignment horizontal="center" vertical="center"/>
      <protection hidden="1"/>
    </xf>
    <xf numFmtId="167" fontId="46" fillId="8" borderId="61" xfId="56" applyNumberFormat="1" applyFont="1" applyFill="1" applyBorder="1" applyAlignment="1" applyProtection="1">
      <alignment horizontal="center" vertical="center"/>
      <protection hidden="1"/>
    </xf>
    <xf numFmtId="167" fontId="46" fillId="8" borderId="57" xfId="56" applyNumberFormat="1" applyFont="1" applyFill="1" applyBorder="1" applyAlignment="1" applyProtection="1">
      <alignment horizontal="center" vertical="center"/>
      <protection hidden="1"/>
    </xf>
    <xf numFmtId="167" fontId="46" fillId="8" borderId="58" xfId="56" applyNumberFormat="1" applyFont="1" applyFill="1" applyBorder="1" applyAlignment="1" applyProtection="1">
      <alignment horizontal="center" vertical="center"/>
      <protection hidden="1"/>
    </xf>
    <xf numFmtId="167" fontId="46" fillId="8" borderId="16" xfId="56" applyNumberFormat="1" applyFont="1" applyFill="1" applyBorder="1" applyAlignment="1" applyProtection="1">
      <alignment horizontal="center" vertical="center"/>
      <protection hidden="1"/>
    </xf>
    <xf numFmtId="167" fontId="46" fillId="8" borderId="1" xfId="56" applyNumberFormat="1" applyFont="1" applyFill="1" applyBorder="1" applyAlignment="1" applyProtection="1">
      <alignment horizontal="center" vertical="center"/>
      <protection hidden="1"/>
    </xf>
    <xf numFmtId="167" fontId="46" fillId="8" borderId="30" xfId="56" applyNumberFormat="1" applyFont="1" applyFill="1" applyBorder="1" applyAlignment="1" applyProtection="1">
      <alignment horizontal="center" vertical="center"/>
      <protection hidden="1"/>
    </xf>
    <xf numFmtId="167" fontId="46" fillId="8" borderId="33" xfId="56" applyNumberFormat="1" applyFont="1" applyFill="1" applyBorder="1" applyAlignment="1" applyProtection="1">
      <alignment horizontal="center" vertical="center"/>
      <protection hidden="1"/>
    </xf>
    <xf numFmtId="167" fontId="46" fillId="8" borderId="59" xfId="56" applyNumberFormat="1" applyFont="1" applyFill="1" applyBorder="1" applyAlignment="1" applyProtection="1">
      <alignment horizontal="center" vertical="center"/>
      <protection hidden="1"/>
    </xf>
    <xf numFmtId="167" fontId="46" fillId="8" borderId="52" xfId="56" applyNumberFormat="1" applyFont="1" applyFill="1" applyBorder="1" applyAlignment="1" applyProtection="1">
      <alignment horizontal="center" vertical="center"/>
      <protection hidden="1"/>
    </xf>
    <xf numFmtId="167" fontId="46" fillId="8" borderId="53" xfId="56" applyNumberFormat="1" applyFont="1" applyFill="1" applyBorder="1" applyAlignment="1" applyProtection="1">
      <alignment horizontal="center" vertical="center"/>
      <protection hidden="1"/>
    </xf>
    <xf numFmtId="0" fontId="67" fillId="22" borderId="59" xfId="16" applyFont="1" applyFill="1" applyBorder="1" applyAlignment="1" applyProtection="1">
      <alignment horizontal="center" vertical="center"/>
      <protection hidden="1"/>
    </xf>
    <xf numFmtId="0" fontId="67" fillId="22" borderId="16" xfId="16" applyFont="1" applyFill="1" applyBorder="1" applyAlignment="1" applyProtection="1">
      <alignment horizontal="center" vertical="center"/>
      <protection hidden="1"/>
    </xf>
    <xf numFmtId="0" fontId="94" fillId="5" borderId="28" xfId="16" applyFont="1" applyFill="1" applyBorder="1" applyAlignment="1" applyProtection="1">
      <alignment horizontal="center" vertical="center"/>
      <protection hidden="1"/>
    </xf>
    <xf numFmtId="0" fontId="56" fillId="5" borderId="26" xfId="16" applyFont="1" applyFill="1" applyBorder="1" applyAlignment="1" applyProtection="1">
      <alignment horizontal="center" vertical="center"/>
      <protection hidden="1"/>
    </xf>
    <xf numFmtId="0" fontId="48" fillId="21" borderId="11" xfId="16" applyFont="1" applyFill="1" applyBorder="1" applyAlignment="1" applyProtection="1">
      <alignment horizontal="center" vertical="center"/>
      <protection hidden="1"/>
    </xf>
    <xf numFmtId="0" fontId="48" fillId="21" borderId="12" xfId="16" applyFont="1" applyFill="1" applyBorder="1" applyAlignment="1" applyProtection="1">
      <alignment horizontal="center" vertical="center"/>
      <protection hidden="1"/>
    </xf>
    <xf numFmtId="0" fontId="48" fillId="21" borderId="1" xfId="16" applyFont="1" applyFill="1" applyBorder="1" applyAlignment="1" applyProtection="1">
      <alignment horizontal="center" vertical="center"/>
      <protection hidden="1"/>
    </xf>
    <xf numFmtId="0" fontId="67" fillId="22" borderId="48" xfId="16" applyFont="1" applyFill="1" applyBorder="1" applyAlignment="1" applyProtection="1">
      <alignment horizontal="center" vertical="center"/>
      <protection hidden="1"/>
    </xf>
    <xf numFmtId="0" fontId="67" fillId="22" borderId="57" xfId="16" applyFont="1" applyFill="1" applyBorder="1" applyAlignment="1" applyProtection="1">
      <alignment horizontal="center" vertical="center"/>
      <protection hidden="1"/>
    </xf>
    <xf numFmtId="0" fontId="67" fillId="22" borderId="21" xfId="16" applyFont="1" applyFill="1" applyBorder="1" applyAlignment="1" applyProtection="1">
      <alignment horizontal="center" vertical="center"/>
      <protection hidden="1"/>
    </xf>
    <xf numFmtId="0" fontId="67" fillId="22" borderId="58" xfId="16" applyFont="1" applyFill="1" applyBorder="1" applyAlignment="1" applyProtection="1">
      <alignment horizontal="center" vertical="center"/>
      <protection hidden="1"/>
    </xf>
    <xf numFmtId="0" fontId="67" fillId="22" borderId="56" xfId="16" applyFont="1" applyFill="1" applyBorder="1" applyAlignment="1" applyProtection="1">
      <alignment horizontal="center" vertical="center"/>
      <protection hidden="1"/>
    </xf>
    <xf numFmtId="0" fontId="67" fillId="22" borderId="33" xfId="16" applyFont="1" applyFill="1" applyBorder="1" applyAlignment="1" applyProtection="1">
      <alignment horizontal="center" vertical="center"/>
      <protection hidden="1"/>
    </xf>
    <xf numFmtId="167" fontId="46" fillId="8" borderId="62" xfId="56" applyNumberFormat="1" applyFont="1" applyFill="1" applyBorder="1" applyAlignment="1" applyProtection="1">
      <alignment horizontal="center" vertical="center"/>
      <protection hidden="1"/>
    </xf>
    <xf numFmtId="0" fontId="61" fillId="5" borderId="11" xfId="0" applyFont="1" applyFill="1" applyBorder="1" applyAlignment="1" applyProtection="1">
      <alignment horizontal="center" vertical="center" wrapText="1"/>
      <protection hidden="1"/>
    </xf>
    <xf numFmtId="0" fontId="61" fillId="5" borderId="20" xfId="0" applyFont="1" applyFill="1" applyBorder="1" applyAlignment="1" applyProtection="1">
      <alignment horizontal="center" vertical="center" wrapText="1"/>
      <protection hidden="1"/>
    </xf>
    <xf numFmtId="0" fontId="61" fillId="5" borderId="12" xfId="0" applyFont="1" applyFill="1" applyBorder="1" applyAlignment="1" applyProtection="1">
      <alignment horizontal="center" vertical="center" wrapText="1"/>
      <protection hidden="1"/>
    </xf>
    <xf numFmtId="0" fontId="92" fillId="5" borderId="11" xfId="0" applyFont="1" applyFill="1" applyBorder="1" applyAlignment="1" applyProtection="1">
      <alignment horizontal="center" vertical="center" wrapText="1"/>
      <protection hidden="1"/>
    </xf>
    <xf numFmtId="0" fontId="92" fillId="5" borderId="20" xfId="0" applyFont="1" applyFill="1" applyBorder="1" applyAlignment="1" applyProtection="1">
      <alignment horizontal="center" vertical="center" wrapText="1"/>
      <protection hidden="1"/>
    </xf>
    <xf numFmtId="0" fontId="92" fillId="5" borderId="12" xfId="0" applyFont="1" applyFill="1" applyBorder="1" applyAlignment="1" applyProtection="1">
      <alignment horizontal="center" vertical="center" wrapText="1"/>
      <protection hidden="1"/>
    </xf>
    <xf numFmtId="0" fontId="61" fillId="16" borderId="11" xfId="0" applyFont="1" applyFill="1" applyBorder="1" applyAlignment="1" applyProtection="1">
      <alignment horizontal="center" vertical="center" wrapText="1"/>
      <protection hidden="1"/>
    </xf>
    <xf numFmtId="0" fontId="61" fillId="16" borderId="20" xfId="0" applyFont="1" applyFill="1" applyBorder="1" applyAlignment="1" applyProtection="1">
      <alignment horizontal="center" vertical="center" wrapText="1"/>
      <protection hidden="1"/>
    </xf>
    <xf numFmtId="0" fontId="61" fillId="16" borderId="12" xfId="0" applyFont="1" applyFill="1" applyBorder="1" applyAlignment="1" applyProtection="1">
      <alignment horizontal="center" vertical="center" wrapText="1"/>
      <protection hidden="1"/>
    </xf>
    <xf numFmtId="0" fontId="92" fillId="16" borderId="11" xfId="0" applyFont="1" applyFill="1" applyBorder="1" applyAlignment="1" applyProtection="1">
      <alignment horizontal="center" vertical="center" wrapText="1"/>
      <protection hidden="1"/>
    </xf>
    <xf numFmtId="0" fontId="92" fillId="16" borderId="20" xfId="0" applyFont="1" applyFill="1" applyBorder="1" applyAlignment="1" applyProtection="1">
      <alignment horizontal="center" vertical="center" wrapText="1"/>
      <protection hidden="1"/>
    </xf>
    <xf numFmtId="0" fontId="92" fillId="16" borderId="12" xfId="0" applyFont="1" applyFill="1" applyBorder="1" applyAlignment="1" applyProtection="1">
      <alignment horizontal="center" vertical="center" wrapText="1"/>
      <protection hidden="1"/>
    </xf>
    <xf numFmtId="0" fontId="48" fillId="5" borderId="1" xfId="0" applyFont="1" applyFill="1" applyBorder="1" applyAlignment="1" applyProtection="1">
      <alignment horizontal="center"/>
      <protection hidden="1"/>
    </xf>
    <xf numFmtId="0" fontId="63" fillId="11" borderId="11" xfId="0" applyFont="1" applyFill="1" applyBorder="1" applyAlignment="1" applyProtection="1">
      <alignment horizontal="center"/>
      <protection hidden="1"/>
    </xf>
    <xf numFmtId="0" fontId="63" fillId="11" borderId="20" xfId="0" applyFont="1" applyFill="1" applyBorder="1" applyAlignment="1" applyProtection="1">
      <alignment horizontal="center"/>
      <protection hidden="1"/>
    </xf>
    <xf numFmtId="0" fontId="63" fillId="11" borderId="12" xfId="0" applyFont="1" applyFill="1" applyBorder="1" applyAlignment="1" applyProtection="1">
      <alignment horizontal="center"/>
      <protection hidden="1"/>
    </xf>
    <xf numFmtId="39" fontId="48" fillId="5" borderId="10" xfId="56" applyNumberFormat="1" applyFont="1" applyFill="1" applyBorder="1" applyAlignment="1">
      <alignment horizontal="center" vertical="center" wrapText="1"/>
    </xf>
    <xf numFmtId="39" fontId="48" fillId="5" borderId="21" xfId="56" applyNumberFormat="1" applyFont="1" applyFill="1" applyBorder="1" applyAlignment="1">
      <alignment horizontal="center" vertical="center" wrapText="1"/>
    </xf>
    <xf numFmtId="39" fontId="48" fillId="5" borderId="16" xfId="56" applyNumberFormat="1" applyFont="1" applyFill="1" applyBorder="1" applyAlignment="1">
      <alignment horizontal="center" vertical="center" wrapText="1"/>
    </xf>
    <xf numFmtId="39" fontId="48" fillId="5" borderId="11" xfId="56" applyNumberFormat="1" applyFont="1" applyFill="1" applyBorder="1" applyAlignment="1">
      <alignment horizontal="center" vertical="center"/>
    </xf>
    <xf numFmtId="39" fontId="48" fillId="5" borderId="20" xfId="56" applyNumberFormat="1" applyFont="1" applyFill="1" applyBorder="1" applyAlignment="1">
      <alignment horizontal="center" vertical="center"/>
    </xf>
    <xf numFmtId="39" fontId="48" fillId="5" borderId="12" xfId="56" applyNumberFormat="1" applyFont="1" applyFill="1" applyBorder="1" applyAlignment="1">
      <alignment horizontal="center" vertical="center"/>
    </xf>
    <xf numFmtId="39" fontId="48" fillId="5" borderId="11" xfId="56" applyNumberFormat="1" applyFont="1" applyFill="1" applyBorder="1" applyAlignment="1" applyProtection="1">
      <alignment horizontal="center" vertical="center"/>
      <protection hidden="1"/>
    </xf>
    <xf numFmtId="39" fontId="48" fillId="5" borderId="20" xfId="56" applyNumberFormat="1" applyFont="1" applyFill="1" applyBorder="1" applyAlignment="1" applyProtection="1">
      <alignment horizontal="center" vertical="center"/>
      <protection hidden="1"/>
    </xf>
    <xf numFmtId="39" fontId="48" fillId="5" borderId="12" xfId="56" applyNumberFormat="1" applyFont="1" applyFill="1" applyBorder="1" applyAlignment="1" applyProtection="1">
      <alignment horizontal="center" vertical="center"/>
      <protection hidden="1"/>
    </xf>
    <xf numFmtId="39" fontId="48" fillId="5" borderId="10" xfId="56" applyNumberFormat="1" applyFont="1" applyFill="1" applyBorder="1" applyAlignment="1" applyProtection="1">
      <alignment horizontal="center" vertical="center" wrapText="1"/>
      <protection hidden="1"/>
    </xf>
    <xf numFmtId="39" fontId="48" fillId="5" borderId="21" xfId="56" applyNumberFormat="1" applyFont="1" applyFill="1" applyBorder="1" applyAlignment="1" applyProtection="1">
      <alignment horizontal="center" vertical="center" wrapText="1"/>
      <protection hidden="1"/>
    </xf>
    <xf numFmtId="39" fontId="48" fillId="5" borderId="16" xfId="56" applyNumberFormat="1" applyFont="1" applyFill="1" applyBorder="1" applyAlignment="1" applyProtection="1">
      <alignment horizontal="center" vertical="center" wrapText="1"/>
      <protection hidden="1"/>
    </xf>
    <xf numFmtId="0" fontId="52" fillId="8" borderId="13" xfId="18" applyFont="1" applyFill="1" applyBorder="1" applyAlignment="1" applyProtection="1">
      <alignment horizontal="center" vertical="center"/>
      <protection hidden="1"/>
    </xf>
    <xf numFmtId="0" fontId="52" fillId="8" borderId="14" xfId="18" applyFont="1" applyFill="1" applyBorder="1" applyAlignment="1" applyProtection="1">
      <alignment horizontal="center" vertical="center"/>
      <protection hidden="1"/>
    </xf>
    <xf numFmtId="0" fontId="52" fillId="8" borderId="15" xfId="18" applyFont="1" applyFill="1" applyBorder="1" applyAlignment="1" applyProtection="1">
      <alignment horizontal="center" vertical="center"/>
      <protection hidden="1"/>
    </xf>
    <xf numFmtId="0" fontId="23" fillId="0" borderId="4" xfId="18" applyFont="1" applyBorder="1" applyAlignment="1" applyProtection="1">
      <alignment horizontal="center" wrapText="1"/>
      <protection hidden="1"/>
    </xf>
    <xf numFmtId="0" fontId="23" fillId="0" borderId="5" xfId="18" applyFont="1" applyBorder="1" applyAlignment="1" applyProtection="1">
      <alignment horizontal="center" wrapText="1"/>
      <protection hidden="1"/>
    </xf>
    <xf numFmtId="0" fontId="23" fillId="0" borderId="6" xfId="18" applyFont="1" applyBorder="1" applyAlignment="1" applyProtection="1">
      <alignment horizontal="center" wrapText="1"/>
      <protection hidden="1"/>
    </xf>
    <xf numFmtId="0" fontId="65" fillId="10" borderId="1" xfId="0" applyFont="1" applyFill="1" applyBorder="1" applyAlignment="1" applyProtection="1">
      <alignment horizontal="center" wrapText="1"/>
      <protection hidden="1"/>
    </xf>
    <xf numFmtId="0" fontId="52" fillId="8" borderId="13" xfId="18" applyFont="1" applyFill="1" applyBorder="1" applyAlignment="1">
      <alignment horizontal="center" vertical="center"/>
    </xf>
    <xf numFmtId="0" fontId="52" fillId="8" borderId="14" xfId="18" applyFont="1" applyFill="1" applyBorder="1" applyAlignment="1">
      <alignment horizontal="center" vertical="center"/>
    </xf>
    <xf numFmtId="0" fontId="52" fillId="8" borderId="15" xfId="18" applyFont="1" applyFill="1" applyBorder="1" applyAlignment="1">
      <alignment horizontal="center" vertical="center"/>
    </xf>
    <xf numFmtId="0" fontId="58" fillId="0" borderId="10" xfId="18" applyFont="1" applyBorder="1" applyAlignment="1">
      <alignment horizontal="center" vertical="center" wrapText="1"/>
    </xf>
    <xf numFmtId="0" fontId="58" fillId="0" borderId="16" xfId="18" applyFont="1" applyBorder="1" applyAlignment="1">
      <alignment horizontal="center" vertical="center" wrapText="1"/>
    </xf>
    <xf numFmtId="0" fontId="58" fillId="0" borderId="1" xfId="18" applyFont="1" applyBorder="1" applyAlignment="1">
      <alignment horizontal="center" vertical="center" wrapText="1"/>
    </xf>
    <xf numFmtId="0" fontId="58" fillId="0" borderId="1" xfId="18" applyFont="1" applyBorder="1" applyAlignment="1">
      <alignment horizontal="center" vertical="center"/>
    </xf>
    <xf numFmtId="0" fontId="58" fillId="0" borderId="21" xfId="18" applyFont="1" applyBorder="1" applyAlignment="1">
      <alignment horizontal="center" vertical="center" wrapText="1"/>
    </xf>
    <xf numFmtId="0" fontId="60" fillId="0" borderId="0" xfId="18" applyFont="1" applyAlignment="1">
      <alignment horizontal="center" vertical="center"/>
    </xf>
    <xf numFmtId="0" fontId="58" fillId="2" borderId="10" xfId="18" applyFont="1" applyFill="1" applyBorder="1" applyAlignment="1">
      <alignment horizontal="center" vertical="center" wrapText="1"/>
    </xf>
    <xf numFmtId="0" fontId="58" fillId="2" borderId="21" xfId="18" applyFont="1" applyFill="1" applyBorder="1" applyAlignment="1">
      <alignment horizontal="center" vertical="center" wrapText="1"/>
    </xf>
    <xf numFmtId="0" fontId="58" fillId="2" borderId="16" xfId="18" applyFont="1" applyFill="1" applyBorder="1" applyAlignment="1">
      <alignment horizontal="center" vertical="center" wrapText="1"/>
    </xf>
    <xf numFmtId="0" fontId="60" fillId="0" borderId="17" xfId="18" applyFont="1" applyBorder="1" applyAlignment="1">
      <alignment horizontal="center" vertical="center"/>
    </xf>
    <xf numFmtId="0" fontId="58" fillId="0" borderId="11" xfId="18" applyFont="1" applyBorder="1" applyAlignment="1">
      <alignment horizontal="center" vertical="center" wrapText="1"/>
    </xf>
    <xf numFmtId="0" fontId="58" fillId="0" borderId="20" xfId="18" applyFont="1" applyBorder="1" applyAlignment="1">
      <alignment horizontal="center" vertical="center" wrapText="1"/>
    </xf>
    <xf numFmtId="0" fontId="58" fillId="0" borderId="12" xfId="18" applyFont="1" applyBorder="1" applyAlignment="1">
      <alignment horizontal="center" vertical="center" wrapText="1"/>
    </xf>
    <xf numFmtId="0" fontId="86" fillId="0" borderId="0" xfId="18" applyFont="1" applyAlignment="1" applyProtection="1">
      <alignment horizontal="center" vertical="center" wrapText="1"/>
      <protection locked="0"/>
    </xf>
    <xf numFmtId="0" fontId="87" fillId="9" borderId="11" xfId="0" applyFont="1" applyFill="1" applyBorder="1" applyAlignment="1" applyProtection="1">
      <alignment horizontal="center" vertical="center" wrapText="1"/>
      <protection hidden="1"/>
    </xf>
    <xf numFmtId="0" fontId="87" fillId="9" borderId="12" xfId="0" applyFont="1" applyFill="1" applyBorder="1" applyAlignment="1" applyProtection="1">
      <alignment horizontal="center" vertical="center" wrapText="1"/>
      <protection hidden="1"/>
    </xf>
    <xf numFmtId="0" fontId="87" fillId="9" borderId="1" xfId="0" applyFont="1" applyFill="1" applyBorder="1" applyAlignment="1" applyProtection="1">
      <alignment horizontal="center" vertical="center" wrapText="1"/>
      <protection hidden="1"/>
    </xf>
    <xf numFmtId="7" fontId="71" fillId="8" borderId="17" xfId="56" applyNumberFormat="1" applyFont="1" applyFill="1" applyBorder="1" applyAlignment="1" applyProtection="1">
      <alignment horizontal="center" vertical="center"/>
      <protection hidden="1"/>
    </xf>
    <xf numFmtId="7" fontId="71" fillId="8" borderId="0" xfId="56" applyNumberFormat="1" applyFont="1" applyFill="1" applyBorder="1" applyAlignment="1" applyProtection="1">
      <alignment horizontal="center" vertical="center"/>
      <protection hidden="1"/>
    </xf>
    <xf numFmtId="0" fontId="90" fillId="11" borderId="11" xfId="16" applyFont="1" applyFill="1" applyBorder="1" applyAlignment="1" applyProtection="1">
      <alignment vertical="center"/>
      <protection hidden="1"/>
    </xf>
    <xf numFmtId="0" fontId="90" fillId="11" borderId="20" xfId="16" applyFont="1" applyFill="1" applyBorder="1" applyAlignment="1" applyProtection="1">
      <alignment vertical="center"/>
      <protection hidden="1"/>
    </xf>
    <xf numFmtId="0" fontId="90" fillId="11" borderId="12" xfId="16" applyFont="1" applyFill="1" applyBorder="1" applyAlignment="1" applyProtection="1">
      <alignment vertical="center"/>
      <protection hidden="1"/>
    </xf>
    <xf numFmtId="2" fontId="96" fillId="2" borderId="10" xfId="16" applyNumberFormat="1" applyFont="1" applyFill="1" applyBorder="1" applyAlignment="1" applyProtection="1">
      <alignment horizontal="center" vertical="center"/>
      <protection hidden="1"/>
    </xf>
    <xf numFmtId="2" fontId="96" fillId="2" borderId="16" xfId="16" applyNumberFormat="1" applyFont="1" applyFill="1" applyBorder="1" applyAlignment="1" applyProtection="1">
      <alignment horizontal="center" vertical="center"/>
      <protection hidden="1"/>
    </xf>
    <xf numFmtId="1" fontId="71" fillId="8" borderId="17" xfId="54" applyNumberFormat="1" applyFont="1" applyFill="1" applyBorder="1" applyAlignment="1" applyProtection="1">
      <alignment horizontal="center" vertical="center"/>
      <protection hidden="1"/>
    </xf>
    <xf numFmtId="1" fontId="71" fillId="8" borderId="0" xfId="54" applyNumberFormat="1" applyFont="1" applyFill="1" applyBorder="1" applyAlignment="1" applyProtection="1">
      <alignment horizontal="center" vertical="center"/>
      <protection hidden="1"/>
    </xf>
  </cellXfs>
  <cellStyles count="78">
    <cellStyle name="Hyperlink_BD-cidades" xfId="1"/>
    <cellStyle name="Moeda" xfId="2" builtinId="4"/>
    <cellStyle name="Moeda 2" xfId="3"/>
    <cellStyle name="Moeda 2 2" xfId="4"/>
    <cellStyle name="Moeda 2 2 2" xfId="5"/>
    <cellStyle name="Moeda 2 3" xfId="6"/>
    <cellStyle name="Moeda 2 3 2" xfId="7"/>
    <cellStyle name="Moeda 2 4" xfId="8"/>
    <cellStyle name="Moeda 3" xfId="9"/>
    <cellStyle name="Moeda 3 2" xfId="10"/>
    <cellStyle name="Moeda 4" xfId="11"/>
    <cellStyle name="Moeda 4 2" xfId="12"/>
    <cellStyle name="Moeda 5" xfId="13"/>
    <cellStyle name="Moeda 5 2" xfId="14"/>
    <cellStyle name="Moeda 6" xfId="15"/>
    <cellStyle name="Normal" xfId="0" builtinId="0"/>
    <cellStyle name="Normal 2" xfId="16"/>
    <cellStyle name="Normal 2 2" xfId="17"/>
    <cellStyle name="Normal 2 2 2" xfId="18"/>
    <cellStyle name="Normal 2 2 2 2" xfId="19"/>
    <cellStyle name="Normal 2 2 3" xfId="20"/>
    <cellStyle name="Normal 2 3" xfId="21"/>
    <cellStyle name="Normal 3" xfId="22"/>
    <cellStyle name="Normal 3 2" xfId="23"/>
    <cellStyle name="Normal 3 2 2" xfId="24"/>
    <cellStyle name="Normal 3 3" xfId="25"/>
    <cellStyle name="Normal 4" xfId="26"/>
    <cellStyle name="Normal 4 2" xfId="27"/>
    <cellStyle name="Normal 5" xfId="28"/>
    <cellStyle name="Normal 6" xfId="29"/>
    <cellStyle name="Porcentagem" xfId="30" builtinId="5"/>
    <cellStyle name="Porcentagem 10" xfId="31"/>
    <cellStyle name="Porcentagem 2" xfId="32"/>
    <cellStyle name="Porcentagem 2 2" xfId="33"/>
    <cellStyle name="Porcentagem 2 2 2" xfId="34"/>
    <cellStyle name="Porcentagem 2 3" xfId="35"/>
    <cellStyle name="Porcentagem 3" xfId="36"/>
    <cellStyle name="Porcentagem 3 2" xfId="37"/>
    <cellStyle name="Porcentagem 3 2 2" xfId="38"/>
    <cellStyle name="Porcentagem 3 3" xfId="39"/>
    <cellStyle name="Porcentagem 4" xfId="40"/>
    <cellStyle name="Porcentagem 4 2" xfId="41"/>
    <cellStyle name="Porcentagem 5" xfId="42"/>
    <cellStyle name="Porcentagem 5 2" xfId="43"/>
    <cellStyle name="Porcentagem 5 2 2" xfId="44"/>
    <cellStyle name="Porcentagem 5 3" xfId="45"/>
    <cellStyle name="Porcentagem 6" xfId="46"/>
    <cellStyle name="Porcentagem 6 2" xfId="47"/>
    <cellStyle name="Porcentagem 7" xfId="48"/>
    <cellStyle name="Porcentagem 7 2" xfId="49"/>
    <cellStyle name="Porcentagem 8" xfId="50"/>
    <cellStyle name="Porcentagem 8 2" xfId="51"/>
    <cellStyle name="Porcentagem 9" xfId="52"/>
    <cellStyle name="Porcentagem 9 2" xfId="53"/>
    <cellStyle name="Vírgula" xfId="54" builtinId="3"/>
    <cellStyle name="Vírgula 10" xfId="55"/>
    <cellStyle name="Vírgula 2" xfId="56"/>
    <cellStyle name="Vírgula 2 2" xfId="57"/>
    <cellStyle name="Vírgula 2 2 2" xfId="58"/>
    <cellStyle name="Vírgula 2 3" xfId="59"/>
    <cellStyle name="Vírgula 3" xfId="60"/>
    <cellStyle name="Vírgula 3 2" xfId="61"/>
    <cellStyle name="Vírgula 4" xfId="62"/>
    <cellStyle name="Vírgula 4 2" xfId="63"/>
    <cellStyle name="Vírgula 5" xfId="64"/>
    <cellStyle name="Vírgula 5 2" xfId="65"/>
    <cellStyle name="Vírgula 5 2 2" xfId="66"/>
    <cellStyle name="Vírgula 5 3" xfId="67"/>
    <cellStyle name="Vírgula 5 3 2" xfId="68"/>
    <cellStyle name="Vírgula 5 4" xfId="69"/>
    <cellStyle name="Vírgula 6" xfId="70"/>
    <cellStyle name="Vírgula 6 2" xfId="71"/>
    <cellStyle name="Vírgula 7" xfId="72"/>
    <cellStyle name="Vírgula 7 2" xfId="73"/>
    <cellStyle name="Vírgula 8" xfId="74"/>
    <cellStyle name="Vírgula 8 2" xfId="75"/>
    <cellStyle name="Vírgula 9" xfId="76"/>
    <cellStyle name="Vírgula 9 2" xfId="77"/>
  </cellStyles>
  <dxfs count="12">
    <dxf>
      <fill>
        <patternFill>
          <bgColor theme="8" tint="0.39994506668294322"/>
        </patternFill>
      </fill>
    </dxf>
    <dxf>
      <fill>
        <patternFill>
          <bgColor theme="5" tint="0.59996337778862885"/>
        </patternFill>
      </fill>
    </dxf>
    <dxf>
      <fill>
        <patternFill>
          <bgColor theme="6" tint="0.39994506668294322"/>
        </patternFill>
      </fill>
    </dxf>
    <dxf>
      <fill>
        <patternFill>
          <bgColor theme="7" tint="0.39994506668294322"/>
        </patternFill>
      </fill>
    </dxf>
    <dxf>
      <fill>
        <patternFill>
          <bgColor theme="8" tint="0.59996337778862885"/>
        </patternFill>
      </fill>
    </dxf>
    <dxf>
      <fill>
        <patternFill>
          <bgColor theme="5" tint="0.59996337778862885"/>
        </patternFill>
      </fill>
    </dxf>
    <dxf>
      <fill>
        <patternFill>
          <bgColor theme="6" tint="0.59996337778862885"/>
        </patternFill>
      </fill>
    </dxf>
    <dxf>
      <fill>
        <patternFill>
          <bgColor theme="7" tint="0.59996337778862885"/>
        </patternFill>
      </fill>
    </dxf>
    <dxf>
      <fill>
        <patternFill>
          <bgColor theme="8" tint="0.79998168889431442"/>
        </patternFill>
      </fill>
    </dxf>
    <dxf>
      <fill>
        <patternFill>
          <bgColor theme="5" tint="0.79998168889431442"/>
        </patternFill>
      </fill>
    </dxf>
    <dxf>
      <fill>
        <patternFill>
          <bgColor theme="6" tint="0.79998168889431442"/>
        </patternFill>
      </fill>
    </dxf>
    <dxf>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320212588421791"/>
          <c:y val="4.6405515924929447E-2"/>
          <c:w val="0.66277271045817254"/>
          <c:h val="0.75272120645936202"/>
        </c:manualLayout>
      </c:layout>
      <c:scatterChart>
        <c:scatterStyle val="lineMarker"/>
        <c:varyColors val="0"/>
        <c:ser>
          <c:idx val="0"/>
          <c:order val="0"/>
          <c:tx>
            <c:strRef>
              <c:f>'A.XV. RPS (Simplificado)'!$Q$17:$Q$19</c:f>
              <c:strCache>
                <c:ptCount val="3"/>
                <c:pt idx="0">
                  <c:v>Nível de Segurança 95%</c:v>
                </c:pt>
              </c:strCache>
            </c:strRef>
          </c:tx>
          <c:spPr>
            <a:ln w="28575">
              <a:noFill/>
            </a:ln>
          </c:spPr>
          <c:xVal>
            <c:numRef>
              <c:f>'A.XV. RPS (Simplificado)'!#REF!</c:f>
              <c:numCache>
                <c:formatCode>General</c:formatCode>
                <c:ptCount val="1"/>
                <c:pt idx="0">
                  <c:v>1</c:v>
                </c:pt>
              </c:numCache>
            </c:numRef>
          </c:xVal>
          <c:yVal>
            <c:numRef>
              <c:f>'A.XV. RPS (Simplificado)'!$T$17:$T$19</c:f>
              <c:numCache>
                <c:formatCode>0.000</c:formatCode>
                <c:ptCount val="3"/>
                <c:pt idx="0">
                  <c:v>5.0200000000000002E-2</c:v>
                </c:pt>
                <c:pt idx="1">
                  <c:v>7.3099999999999998E-2</c:v>
                </c:pt>
                <c:pt idx="2">
                  <c:v>0.12</c:v>
                </c:pt>
              </c:numCache>
            </c:numRef>
          </c:yVal>
          <c:smooth val="0"/>
          <c:extLst>
            <c:ext xmlns:c16="http://schemas.microsoft.com/office/drawing/2014/chart" uri="{C3380CC4-5D6E-409C-BE32-E72D297353CC}">
              <c16:uniqueId val="{00000000-9537-4E18-9CCE-14D9D8A7ABF0}"/>
            </c:ext>
          </c:extLst>
        </c:ser>
        <c:ser>
          <c:idx val="1"/>
          <c:order val="1"/>
          <c:tx>
            <c:strRef>
              <c:f>'A.XV. RPS (Simplificado)'!$Q$20:$Q$22</c:f>
              <c:strCache>
                <c:ptCount val="3"/>
                <c:pt idx="0">
                  <c:v>Nível de Segurança 90%</c:v>
                </c:pt>
              </c:strCache>
            </c:strRef>
          </c:tx>
          <c:spPr>
            <a:ln w="28575">
              <a:noFill/>
            </a:ln>
          </c:spPr>
          <c:xVal>
            <c:numRef>
              <c:f>'A.XV. RPS (Simplificado)'!#REF!</c:f>
              <c:numCache>
                <c:formatCode>General</c:formatCode>
                <c:ptCount val="1"/>
                <c:pt idx="0">
                  <c:v>1</c:v>
                </c:pt>
              </c:numCache>
            </c:numRef>
          </c:xVal>
          <c:yVal>
            <c:numRef>
              <c:f>'A.XV. RPS (Simplificado)'!$T$20:$T$22</c:f>
              <c:numCache>
                <c:formatCode>0.000</c:formatCode>
                <c:ptCount val="3"/>
                <c:pt idx="0">
                  <c:v>3.9300000000000002E-2</c:v>
                </c:pt>
                <c:pt idx="1">
                  <c:v>5.7099999999999998E-2</c:v>
                </c:pt>
                <c:pt idx="2">
                  <c:v>9.3799999999999994E-2</c:v>
                </c:pt>
              </c:numCache>
            </c:numRef>
          </c:yVal>
          <c:smooth val="0"/>
          <c:extLst>
            <c:ext xmlns:c16="http://schemas.microsoft.com/office/drawing/2014/chart" uri="{C3380CC4-5D6E-409C-BE32-E72D297353CC}">
              <c16:uniqueId val="{00000001-9537-4E18-9CCE-14D9D8A7ABF0}"/>
            </c:ext>
          </c:extLst>
        </c:ser>
        <c:ser>
          <c:idx val="3"/>
          <c:order val="2"/>
          <c:tx>
            <c:strRef>
              <c:f>'A.XV. RPS (Simplificado)'!$Q$23:$Q$25</c:f>
              <c:strCache>
                <c:ptCount val="3"/>
                <c:pt idx="0">
                  <c:v>Nível de Segurança 85%</c:v>
                </c:pt>
              </c:strCache>
            </c:strRef>
          </c:tx>
          <c:spPr>
            <a:ln w="28575">
              <a:noFill/>
            </a:ln>
          </c:spPr>
          <c:xVal>
            <c:numRef>
              <c:f>'A.XV. RPS (Simplificado)'!#REF!</c:f>
              <c:numCache>
                <c:formatCode>General</c:formatCode>
                <c:ptCount val="1"/>
                <c:pt idx="0">
                  <c:v>1</c:v>
                </c:pt>
              </c:numCache>
            </c:numRef>
          </c:xVal>
          <c:yVal>
            <c:numRef>
              <c:f>'A.XV. RPS (Simplificado)'!$T$23:$T$25</c:f>
              <c:numCache>
                <c:formatCode>0.000</c:formatCode>
                <c:ptCount val="3"/>
                <c:pt idx="0">
                  <c:v>3.15E-2</c:v>
                </c:pt>
                <c:pt idx="1">
                  <c:v>4.58E-2</c:v>
                </c:pt>
                <c:pt idx="2">
                  <c:v>7.5300000000000006E-2</c:v>
                </c:pt>
              </c:numCache>
            </c:numRef>
          </c:yVal>
          <c:smooth val="0"/>
          <c:extLst>
            <c:ext xmlns:c16="http://schemas.microsoft.com/office/drawing/2014/chart" uri="{C3380CC4-5D6E-409C-BE32-E72D297353CC}">
              <c16:uniqueId val="{00000002-9537-4E18-9CCE-14D9D8A7ABF0}"/>
            </c:ext>
          </c:extLst>
        </c:ser>
        <c:dLbls>
          <c:showLegendKey val="0"/>
          <c:showVal val="0"/>
          <c:showCatName val="0"/>
          <c:showSerName val="0"/>
          <c:showPercent val="0"/>
          <c:showBubbleSize val="0"/>
        </c:dLbls>
        <c:axId val="1717447328"/>
        <c:axId val="1"/>
      </c:scatterChart>
      <c:valAx>
        <c:axId val="1717447328"/>
        <c:scaling>
          <c:orientation val="minMax"/>
        </c:scaling>
        <c:delete val="0"/>
        <c:axPos val="b"/>
        <c:title>
          <c:tx>
            <c:rich>
              <a:bodyPr/>
              <a:lstStyle/>
              <a:p>
                <a:pPr>
                  <a:defRPr sz="1000" b="1" i="0" u="none" strike="noStrike" baseline="0">
                    <a:solidFill>
                      <a:srgbClr val="000000"/>
                    </a:solidFill>
                    <a:latin typeface="Calibri"/>
                    <a:ea typeface="Calibri"/>
                    <a:cs typeface="Calibri"/>
                  </a:defRPr>
                </a:pPr>
                <a:r>
                  <a:rPr lang="pt-BR"/>
                  <a:t>Risco a ser assumido (%)</a:t>
                </a:r>
              </a:p>
            </c:rich>
          </c:tx>
          <c:layout>
            <c:manualLayout>
              <c:xMode val="edge"/>
              <c:yMode val="edge"/>
              <c:x val="0.37509718714405982"/>
              <c:y val="0.9030096029165805"/>
            </c:manualLayout>
          </c:layout>
          <c:overlay val="0"/>
        </c:title>
        <c:numFmt formatCode="General"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pt-BR"/>
          </a:p>
        </c:txPr>
        <c:crossAx val="1"/>
        <c:crosses val="autoZero"/>
        <c:crossBetween val="midCat"/>
      </c:valAx>
      <c:valAx>
        <c:axId val="1"/>
        <c:scaling>
          <c:orientation val="minMax"/>
          <c:max val="0.15000000000000002"/>
          <c:min val="0"/>
        </c:scaling>
        <c:delete val="0"/>
        <c:axPos val="l"/>
        <c:majorGridlines/>
        <c:title>
          <c:tx>
            <c:rich>
              <a:bodyPr/>
              <a:lstStyle/>
              <a:p>
                <a:pPr>
                  <a:defRPr sz="1000" b="1" i="0" u="none" strike="noStrike" baseline="0">
                    <a:solidFill>
                      <a:srgbClr val="000000"/>
                    </a:solidFill>
                    <a:latin typeface="Calibri"/>
                    <a:ea typeface="Calibri"/>
                    <a:cs typeface="Calibri"/>
                  </a:defRPr>
                </a:pPr>
                <a:r>
                  <a:rPr lang="pt-BR"/>
                  <a:t>Coeficiente do RPS (Ɣ)</a:t>
                </a:r>
              </a:p>
            </c:rich>
          </c:tx>
          <c:overlay val="0"/>
        </c:title>
        <c:numFmt formatCode="0.0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pt-BR"/>
          </a:p>
        </c:txPr>
        <c:crossAx val="1717447328"/>
        <c:crosses val="autoZero"/>
        <c:crossBetween val="midCat"/>
      </c:valAx>
    </c:plotArea>
    <c:legend>
      <c:legendPos val="r"/>
      <c:layout>
        <c:manualLayout>
          <c:xMode val="edge"/>
          <c:yMode val="edge"/>
          <c:x val="0.76551187292626155"/>
          <c:y val="0.23284285168411228"/>
          <c:w val="0.22567117936908831"/>
          <c:h val="0.45971567098265459"/>
        </c:manualLayout>
      </c:layout>
      <c:overlay val="0"/>
      <c:txPr>
        <a:bodyPr/>
        <a:lstStyle/>
        <a:p>
          <a:pPr>
            <a:defRPr sz="335" b="0" i="0" u="none" strike="noStrike" baseline="0">
              <a:solidFill>
                <a:srgbClr val="000000"/>
              </a:solidFill>
              <a:latin typeface="Calibri"/>
              <a:ea typeface="Calibri"/>
              <a:cs typeface="Calibri"/>
            </a:defRPr>
          </a:pPr>
          <a:endParaRPr lang="pt-BR"/>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pt-BR"/>
    </a:p>
  </c:txPr>
  <c:printSettings>
    <c:headerFooter/>
    <c:pageMargins b="0.78740157499999996" l="0.511811024" r="0.511811024" t="0.78740157499999996" header="0.31496062000000002" footer="0.31496062000000002"/>
    <c:pageSetup/>
  </c:printSettings>
</c:chartSpace>
</file>

<file path=xl/ctrlProps/ctrlProp1.xml><?xml version="1.0" encoding="utf-8"?>
<formControlPr xmlns="http://schemas.microsoft.com/office/spreadsheetml/2009/9/main" objectType="Drop" dropLines="3" dropStyle="combo" dx="26" fmlaLink="$T$8" fmlaRange="$Q$11:$Q$13" sel="1" val="0"/>
</file>

<file path=xl/ctrlProps/ctrlProp10.xml><?xml version="1.0" encoding="utf-8"?>
<formControlPr xmlns="http://schemas.microsoft.com/office/spreadsheetml/2009/9/main" objectType="Drop" dropStyle="combo" dx="26" fmlaLink="$D$114" fmlaRange="$D$110:$D$113" noThreeD="1" sel="3" val="0"/>
</file>

<file path=xl/ctrlProps/ctrlProp11.xml><?xml version="1.0" encoding="utf-8"?>
<formControlPr xmlns="http://schemas.microsoft.com/office/spreadsheetml/2009/9/main" objectType="Drop" dropStyle="combo" dx="26" fmlaLink="$D$126" fmlaRange="$D$122:$D$125" noThreeD="1" sel="3" val="0"/>
</file>

<file path=xl/ctrlProps/ctrlProp12.xml><?xml version="1.0" encoding="utf-8"?>
<formControlPr xmlns="http://schemas.microsoft.com/office/spreadsheetml/2009/9/main" objectType="Drop" dropStyle="combo" dx="26" fmlaLink="$D$132" fmlaRange="$D$128:$D$131" noThreeD="1" sel="3" val="0"/>
</file>

<file path=xl/ctrlProps/ctrlProp13.xml><?xml version="1.0" encoding="utf-8"?>
<formControlPr xmlns="http://schemas.microsoft.com/office/spreadsheetml/2009/9/main" objectType="Drop" dropStyle="combo" dx="26" fmlaLink="$D$72" fmlaRange="$D$68:$D$71" noThreeD="1" sel="3" val="0"/>
</file>

<file path=xl/ctrlProps/ctrlProp14.xml><?xml version="1.0" encoding="utf-8"?>
<formControlPr xmlns="http://schemas.microsoft.com/office/spreadsheetml/2009/9/main" objectType="Drop" dropStyle="combo" dx="26" fmlaLink="$D$78" fmlaRange="$D$74:$D$77" noThreeD="1" sel="3" val="0"/>
</file>

<file path=xl/ctrlProps/ctrlProp15.xml><?xml version="1.0" encoding="utf-8"?>
<formControlPr xmlns="http://schemas.microsoft.com/office/spreadsheetml/2009/9/main" objectType="Drop" dropStyle="combo" dx="26" fmlaLink="$D$84" fmlaRange="$D$80:$D$83" noThreeD="1" sel="3" val="0"/>
</file>

<file path=xl/ctrlProps/ctrlProp16.xml><?xml version="1.0" encoding="utf-8"?>
<formControlPr xmlns="http://schemas.microsoft.com/office/spreadsheetml/2009/9/main" objectType="Drop" dropStyle="combo" dx="26" fmlaLink="$D$120" fmlaRange="$D$116:$D$119" noThreeD="1" sel="3" val="0"/>
</file>

<file path=xl/ctrlProps/ctrlProp17.xml><?xml version="1.0" encoding="utf-8"?>
<formControlPr xmlns="http://schemas.microsoft.com/office/spreadsheetml/2009/9/main" objectType="Drop" dropStyle="combo" dx="26" fmlaLink="$D$90" fmlaRange="$D$86:$D$89" noThreeD="1" sel="3" val="0"/>
</file>

<file path=xl/ctrlProps/ctrlProp18.xml><?xml version="1.0" encoding="utf-8"?>
<formControlPr xmlns="http://schemas.microsoft.com/office/spreadsheetml/2009/9/main" objectType="Drop" dropStyle="combo" dx="26" fmlaLink="$D$96" fmlaRange="$D$92:$D$95" noThreeD="1" sel="3" val="0"/>
</file>

<file path=xl/ctrlProps/ctrlProp19.xml><?xml version="1.0" encoding="utf-8"?>
<formControlPr xmlns="http://schemas.microsoft.com/office/spreadsheetml/2009/9/main" objectType="Drop" dropLines="4" dropStyle="combo" dx="26" fmlaLink="$L$21" fmlaRange="$H$25:$H$27" sel="1" val="0"/>
</file>

<file path=xl/ctrlProps/ctrlProp2.xml><?xml version="1.0" encoding="utf-8"?>
<formControlPr xmlns="http://schemas.microsoft.com/office/spreadsheetml/2009/9/main" objectType="Drop" dropStyle="combo" dx="26" fmlaLink="$D$36" fmlaRange="$D$32:$D$35" noThreeD="1" sel="3" val="0"/>
</file>

<file path=xl/ctrlProps/ctrlProp3.xml><?xml version="1.0" encoding="utf-8"?>
<formControlPr xmlns="http://schemas.microsoft.com/office/spreadsheetml/2009/9/main" objectType="Drop" dropStyle="combo" dx="26" fmlaLink="$D$42" fmlaRange="$D$38:$D$41" noThreeD="1" sel="3" val="0"/>
</file>

<file path=xl/ctrlProps/ctrlProp4.xml><?xml version="1.0" encoding="utf-8"?>
<formControlPr xmlns="http://schemas.microsoft.com/office/spreadsheetml/2009/9/main" objectType="Drop" dropStyle="combo" dx="26" fmlaLink="$D$48" fmlaRange="$D$44:$D$47" noThreeD="1" sel="3" val="0"/>
</file>

<file path=xl/ctrlProps/ctrlProp5.xml><?xml version="1.0" encoding="utf-8"?>
<formControlPr xmlns="http://schemas.microsoft.com/office/spreadsheetml/2009/9/main" objectType="Drop" dropStyle="combo" dx="26" fmlaLink="$D$60" fmlaRange="$D$56:$D$59" noThreeD="1" sel="3" val="0"/>
</file>

<file path=xl/ctrlProps/ctrlProp6.xml><?xml version="1.0" encoding="utf-8"?>
<formControlPr xmlns="http://schemas.microsoft.com/office/spreadsheetml/2009/9/main" objectType="Drop" dropStyle="combo" dx="26" fmlaLink="$D$54" fmlaRange="$D$50:$D$53" noThreeD="1" sel="3" val="0"/>
</file>

<file path=xl/ctrlProps/ctrlProp7.xml><?xml version="1.0" encoding="utf-8"?>
<formControlPr xmlns="http://schemas.microsoft.com/office/spreadsheetml/2009/9/main" objectType="Drop" dropStyle="combo" dx="26" fmlaLink="$D$66" fmlaRange="$D$62:$D$65" noThreeD="1" sel="3" val="0"/>
</file>

<file path=xl/ctrlProps/ctrlProp8.xml><?xml version="1.0" encoding="utf-8"?>
<formControlPr xmlns="http://schemas.microsoft.com/office/spreadsheetml/2009/9/main" objectType="Drop" dropStyle="combo" dx="26" fmlaLink="$D$102" fmlaRange="$D$98:$D$101" noThreeD="1" sel="3" val="0"/>
</file>

<file path=xl/ctrlProps/ctrlProp9.xml><?xml version="1.0" encoding="utf-8"?>
<formControlPr xmlns="http://schemas.microsoft.com/office/spreadsheetml/2009/9/main" objectType="Drop" dropStyle="combo" dx="26" fmlaLink="$D$108" fmlaRange="$D$104:$D$107" noThreeD="1" sel="3" val="0"/>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8.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323850</xdr:colOff>
      <xdr:row>27</xdr:row>
      <xdr:rowOff>133351</xdr:rowOff>
    </xdr:from>
    <xdr:to>
      <xdr:col>2</xdr:col>
      <xdr:colOff>15240</xdr:colOff>
      <xdr:row>29</xdr:row>
      <xdr:rowOff>104775</xdr:rowOff>
    </xdr:to>
    <xdr:sp macro="" textlink="">
      <xdr:nvSpPr>
        <xdr:cNvPr id="2" name="Retângulo 1">
          <a:extLst>
            <a:ext uri="{FF2B5EF4-FFF2-40B4-BE49-F238E27FC236}">
              <a16:creationId xmlns:a16="http://schemas.microsoft.com/office/drawing/2014/main" id="{00000000-0008-0000-0000-000002000000}"/>
            </a:ext>
          </a:extLst>
        </xdr:cNvPr>
        <xdr:cNvSpPr/>
      </xdr:nvSpPr>
      <xdr:spPr>
        <a:xfrm>
          <a:off x="323850" y="5934076"/>
          <a:ext cx="1329690" cy="371474"/>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295276</xdr:colOff>
      <xdr:row>31</xdr:row>
      <xdr:rowOff>114300</xdr:rowOff>
    </xdr:from>
    <xdr:to>
      <xdr:col>1</xdr:col>
      <xdr:colOff>167641</xdr:colOff>
      <xdr:row>33</xdr:row>
      <xdr:rowOff>93345</xdr:rowOff>
    </xdr:to>
    <xdr:sp macro="" textlink="">
      <xdr:nvSpPr>
        <xdr:cNvPr id="3" name="Retângulo 2">
          <a:extLst>
            <a:ext uri="{FF2B5EF4-FFF2-40B4-BE49-F238E27FC236}">
              <a16:creationId xmlns:a16="http://schemas.microsoft.com/office/drawing/2014/main" id="{00000000-0008-0000-0000-000003000000}"/>
            </a:ext>
          </a:extLst>
        </xdr:cNvPr>
        <xdr:cNvSpPr/>
      </xdr:nvSpPr>
      <xdr:spPr>
        <a:xfrm>
          <a:off x="295276" y="6315075"/>
          <a:ext cx="1339215" cy="379095"/>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0</xdr:col>
      <xdr:colOff>0</xdr:colOff>
      <xdr:row>43</xdr:row>
      <xdr:rowOff>0</xdr:rowOff>
    </xdr:from>
    <xdr:to>
      <xdr:col>6</xdr:col>
      <xdr:colOff>352425</xdr:colOff>
      <xdr:row>79</xdr:row>
      <xdr:rowOff>93345</xdr:rowOff>
    </xdr:to>
    <xdr:pic>
      <xdr:nvPicPr>
        <xdr:cNvPr id="5" name="Imagem 2">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62775"/>
          <a:ext cx="4305300" cy="5922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7620</xdr:colOff>
      <xdr:row>5</xdr:row>
      <xdr:rowOff>196215</xdr:rowOff>
    </xdr:from>
    <xdr:to>
      <xdr:col>6</xdr:col>
      <xdr:colOff>3810</xdr:colOff>
      <xdr:row>12</xdr:row>
      <xdr:rowOff>3810</xdr:rowOff>
    </xdr:to>
    <xdr:sp macro="" textlink="">
      <xdr:nvSpPr>
        <xdr:cNvPr id="2" name="Retângulo 1">
          <a:extLst>
            <a:ext uri="{FF2B5EF4-FFF2-40B4-BE49-F238E27FC236}">
              <a16:creationId xmlns:a16="http://schemas.microsoft.com/office/drawing/2014/main" id="{00000000-0008-0000-1300-000002000000}"/>
            </a:ext>
          </a:extLst>
        </xdr:cNvPr>
        <xdr:cNvSpPr/>
      </xdr:nvSpPr>
      <xdr:spPr>
        <a:xfrm>
          <a:off x="3055620" y="1148715"/>
          <a:ext cx="605790" cy="120777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18057</xdr:colOff>
      <xdr:row>7</xdr:row>
      <xdr:rowOff>26672</xdr:rowOff>
    </xdr:from>
    <xdr:to>
      <xdr:col>5</xdr:col>
      <xdr:colOff>1802628</xdr:colOff>
      <xdr:row>14</xdr:row>
      <xdr:rowOff>12177</xdr:rowOff>
    </xdr:to>
    <xdr:sp macro="" textlink="">
      <xdr:nvSpPr>
        <xdr:cNvPr id="2" name="Retângulo 1">
          <a:extLst>
            <a:ext uri="{FF2B5EF4-FFF2-40B4-BE49-F238E27FC236}">
              <a16:creationId xmlns:a16="http://schemas.microsoft.com/office/drawing/2014/main" id="{00000000-0008-0000-1500-000002000000}"/>
            </a:ext>
          </a:extLst>
        </xdr:cNvPr>
        <xdr:cNvSpPr/>
      </xdr:nvSpPr>
      <xdr:spPr>
        <a:xfrm>
          <a:off x="2265957" y="1312547"/>
          <a:ext cx="3089496" cy="129043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3</xdr:col>
      <xdr:colOff>21948</xdr:colOff>
      <xdr:row>18</xdr:row>
      <xdr:rowOff>9609</xdr:rowOff>
    </xdr:from>
    <xdr:to>
      <xdr:col>6</xdr:col>
      <xdr:colOff>1778358</xdr:colOff>
      <xdr:row>30</xdr:row>
      <xdr:rowOff>162009</xdr:rowOff>
    </xdr:to>
    <xdr:sp macro="" textlink="">
      <xdr:nvSpPr>
        <xdr:cNvPr id="3" name="Retângulo 2">
          <a:extLst>
            <a:ext uri="{FF2B5EF4-FFF2-40B4-BE49-F238E27FC236}">
              <a16:creationId xmlns:a16="http://schemas.microsoft.com/office/drawing/2014/main" id="{00000000-0008-0000-1500-000003000000}"/>
            </a:ext>
          </a:extLst>
        </xdr:cNvPr>
        <xdr:cNvSpPr/>
      </xdr:nvSpPr>
      <xdr:spPr>
        <a:xfrm>
          <a:off x="812523" y="3467184"/>
          <a:ext cx="6204585" cy="243840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1</xdr:colOff>
      <xdr:row>11</xdr:row>
      <xdr:rowOff>169545</xdr:rowOff>
    </xdr:from>
    <xdr:to>
      <xdr:col>8</xdr:col>
      <xdr:colOff>57151</xdr:colOff>
      <xdr:row>13</xdr:row>
      <xdr:rowOff>20954</xdr:rowOff>
    </xdr:to>
    <xdr:sp macro="" textlink="">
      <xdr:nvSpPr>
        <xdr:cNvPr id="2" name="Retângulo 1">
          <a:extLst>
            <a:ext uri="{FF2B5EF4-FFF2-40B4-BE49-F238E27FC236}">
              <a16:creationId xmlns:a16="http://schemas.microsoft.com/office/drawing/2014/main" id="{00000000-0008-0000-1600-000002000000}"/>
            </a:ext>
          </a:extLst>
        </xdr:cNvPr>
        <xdr:cNvSpPr/>
      </xdr:nvSpPr>
      <xdr:spPr>
        <a:xfrm>
          <a:off x="4476751" y="2312670"/>
          <a:ext cx="495300" cy="241934"/>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6</xdr:col>
      <xdr:colOff>257176</xdr:colOff>
      <xdr:row>15</xdr:row>
      <xdr:rowOff>163830</xdr:rowOff>
    </xdr:from>
    <xdr:to>
      <xdr:col>8</xdr:col>
      <xdr:colOff>43816</xdr:colOff>
      <xdr:row>17</xdr:row>
      <xdr:rowOff>7619</xdr:rowOff>
    </xdr:to>
    <xdr:sp macro="" textlink="">
      <xdr:nvSpPr>
        <xdr:cNvPr id="3" name="Retângulo 2">
          <a:extLst>
            <a:ext uri="{FF2B5EF4-FFF2-40B4-BE49-F238E27FC236}">
              <a16:creationId xmlns:a16="http://schemas.microsoft.com/office/drawing/2014/main" id="{00000000-0008-0000-1600-000003000000}"/>
            </a:ext>
          </a:extLst>
        </xdr:cNvPr>
        <xdr:cNvSpPr/>
      </xdr:nvSpPr>
      <xdr:spPr>
        <a:xfrm>
          <a:off x="4581526" y="2983230"/>
          <a:ext cx="520065" cy="224789"/>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6</xdr:col>
      <xdr:colOff>264796</xdr:colOff>
      <xdr:row>24</xdr:row>
      <xdr:rowOff>205740</xdr:rowOff>
    </xdr:from>
    <xdr:to>
      <xdr:col>8</xdr:col>
      <xdr:colOff>49531</xdr:colOff>
      <xdr:row>26</xdr:row>
      <xdr:rowOff>19049</xdr:rowOff>
    </xdr:to>
    <xdr:sp macro="" textlink="">
      <xdr:nvSpPr>
        <xdr:cNvPr id="4" name="Retângulo 3">
          <a:extLst>
            <a:ext uri="{FF2B5EF4-FFF2-40B4-BE49-F238E27FC236}">
              <a16:creationId xmlns:a16="http://schemas.microsoft.com/office/drawing/2014/main" id="{00000000-0008-0000-1600-000004000000}"/>
            </a:ext>
          </a:extLst>
        </xdr:cNvPr>
        <xdr:cNvSpPr/>
      </xdr:nvSpPr>
      <xdr:spPr>
        <a:xfrm>
          <a:off x="4465321" y="4911090"/>
          <a:ext cx="499110" cy="222884"/>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7621</xdr:colOff>
      <xdr:row>7</xdr:row>
      <xdr:rowOff>0</xdr:rowOff>
    </xdr:from>
    <xdr:to>
      <xdr:col>6</xdr:col>
      <xdr:colOff>40005</xdr:colOff>
      <xdr:row>9</xdr:row>
      <xdr:rowOff>40004</xdr:rowOff>
    </xdr:to>
    <xdr:sp macro="" textlink="">
      <xdr:nvSpPr>
        <xdr:cNvPr id="5" name="Retângulo 4">
          <a:extLst>
            <a:ext uri="{FF2B5EF4-FFF2-40B4-BE49-F238E27FC236}">
              <a16:creationId xmlns:a16="http://schemas.microsoft.com/office/drawing/2014/main" id="{00000000-0008-0000-1600-000005000000}"/>
            </a:ext>
          </a:extLst>
        </xdr:cNvPr>
        <xdr:cNvSpPr/>
      </xdr:nvSpPr>
      <xdr:spPr>
        <a:xfrm>
          <a:off x="1864996" y="1362075"/>
          <a:ext cx="2375534" cy="440054"/>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3</xdr:col>
      <xdr:colOff>944881</xdr:colOff>
      <xdr:row>20</xdr:row>
      <xdr:rowOff>192405</xdr:rowOff>
    </xdr:from>
    <xdr:to>
      <xdr:col>6</xdr:col>
      <xdr:colOff>1905</xdr:colOff>
      <xdr:row>22</xdr:row>
      <xdr:rowOff>22859</xdr:rowOff>
    </xdr:to>
    <xdr:sp macro="" textlink="">
      <xdr:nvSpPr>
        <xdr:cNvPr id="6" name="Retângulo 5">
          <a:extLst>
            <a:ext uri="{FF2B5EF4-FFF2-40B4-BE49-F238E27FC236}">
              <a16:creationId xmlns:a16="http://schemas.microsoft.com/office/drawing/2014/main" id="{00000000-0008-0000-1600-000006000000}"/>
            </a:ext>
          </a:extLst>
        </xdr:cNvPr>
        <xdr:cNvSpPr/>
      </xdr:nvSpPr>
      <xdr:spPr>
        <a:xfrm>
          <a:off x="1830706" y="4069080"/>
          <a:ext cx="2371724" cy="240029"/>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5715</xdr:colOff>
      <xdr:row>7</xdr:row>
      <xdr:rowOff>34290</xdr:rowOff>
    </xdr:from>
    <xdr:to>
      <xdr:col>5</xdr:col>
      <xdr:colOff>1807845</xdr:colOff>
      <xdr:row>14</xdr:row>
      <xdr:rowOff>26670</xdr:rowOff>
    </xdr:to>
    <xdr:sp macro="" textlink="">
      <xdr:nvSpPr>
        <xdr:cNvPr id="3" name="Retângulo 2">
          <a:extLst>
            <a:ext uri="{FF2B5EF4-FFF2-40B4-BE49-F238E27FC236}">
              <a16:creationId xmlns:a16="http://schemas.microsoft.com/office/drawing/2014/main" id="{00000000-0008-0000-1700-000003000000}"/>
            </a:ext>
          </a:extLst>
        </xdr:cNvPr>
        <xdr:cNvSpPr/>
      </xdr:nvSpPr>
      <xdr:spPr>
        <a:xfrm>
          <a:off x="2253615" y="1320165"/>
          <a:ext cx="2878455" cy="1297305"/>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933450</xdr:colOff>
      <xdr:row>13</xdr:row>
      <xdr:rowOff>9525</xdr:rowOff>
    </xdr:from>
    <xdr:to>
      <xdr:col>6</xdr:col>
      <xdr:colOff>28575</xdr:colOff>
      <xdr:row>16</xdr:row>
      <xdr:rowOff>43815</xdr:rowOff>
    </xdr:to>
    <xdr:sp macro="" textlink="">
      <xdr:nvSpPr>
        <xdr:cNvPr id="2" name="Retângulo 1">
          <a:extLst>
            <a:ext uri="{FF2B5EF4-FFF2-40B4-BE49-F238E27FC236}">
              <a16:creationId xmlns:a16="http://schemas.microsoft.com/office/drawing/2014/main" id="{00000000-0008-0000-1800-000002000000}"/>
            </a:ext>
          </a:extLst>
        </xdr:cNvPr>
        <xdr:cNvSpPr/>
      </xdr:nvSpPr>
      <xdr:spPr>
        <a:xfrm>
          <a:off x="3790950" y="3495675"/>
          <a:ext cx="1066800" cy="1691640"/>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38100</xdr:colOff>
      <xdr:row>7</xdr:row>
      <xdr:rowOff>171450</xdr:rowOff>
    </xdr:from>
    <xdr:to>
      <xdr:col>4</xdr:col>
      <xdr:colOff>34290</xdr:colOff>
      <xdr:row>9</xdr:row>
      <xdr:rowOff>28574</xdr:rowOff>
    </xdr:to>
    <xdr:sp macro="" textlink="">
      <xdr:nvSpPr>
        <xdr:cNvPr id="2" name="Retângulo 1">
          <a:extLst>
            <a:ext uri="{FF2B5EF4-FFF2-40B4-BE49-F238E27FC236}">
              <a16:creationId xmlns:a16="http://schemas.microsoft.com/office/drawing/2014/main" id="{00000000-0008-0000-1900-000002000000}"/>
            </a:ext>
          </a:extLst>
        </xdr:cNvPr>
        <xdr:cNvSpPr/>
      </xdr:nvSpPr>
      <xdr:spPr>
        <a:xfrm>
          <a:off x="685800" y="1524000"/>
          <a:ext cx="1844040" cy="247649"/>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9525</xdr:colOff>
      <xdr:row>3</xdr:row>
      <xdr:rowOff>1904</xdr:rowOff>
    </xdr:from>
    <xdr:to>
      <xdr:col>5</xdr:col>
      <xdr:colOff>9525</xdr:colOff>
      <xdr:row>5</xdr:row>
      <xdr:rowOff>0</xdr:rowOff>
    </xdr:to>
    <xdr:sp macro="" textlink="">
      <xdr:nvSpPr>
        <xdr:cNvPr id="3" name="Retângulo 2">
          <a:extLst>
            <a:ext uri="{FF2B5EF4-FFF2-40B4-BE49-F238E27FC236}">
              <a16:creationId xmlns:a16="http://schemas.microsoft.com/office/drawing/2014/main" id="{00000000-0008-0000-1B00-000003000000}"/>
            </a:ext>
          </a:extLst>
        </xdr:cNvPr>
        <xdr:cNvSpPr/>
      </xdr:nvSpPr>
      <xdr:spPr>
        <a:xfrm>
          <a:off x="2505075" y="601979"/>
          <a:ext cx="1638300" cy="398146"/>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586741</xdr:colOff>
      <xdr:row>5</xdr:row>
      <xdr:rowOff>173355</xdr:rowOff>
    </xdr:from>
    <xdr:to>
      <xdr:col>3</xdr:col>
      <xdr:colOff>28576</xdr:colOff>
      <xdr:row>7</xdr:row>
      <xdr:rowOff>30480</xdr:rowOff>
    </xdr:to>
    <xdr:sp macro="" textlink="">
      <xdr:nvSpPr>
        <xdr:cNvPr id="2" name="Retângulo 1">
          <a:extLst>
            <a:ext uri="{FF2B5EF4-FFF2-40B4-BE49-F238E27FC236}">
              <a16:creationId xmlns:a16="http://schemas.microsoft.com/office/drawing/2014/main" id="{00000000-0008-0000-1C00-000002000000}"/>
            </a:ext>
          </a:extLst>
        </xdr:cNvPr>
        <xdr:cNvSpPr/>
      </xdr:nvSpPr>
      <xdr:spPr>
        <a:xfrm>
          <a:off x="586741" y="1144905"/>
          <a:ext cx="1270635" cy="24765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304800</xdr:colOff>
      <xdr:row>7</xdr:row>
      <xdr:rowOff>7620</xdr:rowOff>
    </xdr:from>
    <xdr:to>
      <xdr:col>8</xdr:col>
      <xdr:colOff>601980</xdr:colOff>
      <xdr:row>25</xdr:row>
      <xdr:rowOff>45720</xdr:rowOff>
    </xdr:to>
    <xdr:graphicFrame macro="">
      <xdr:nvGraphicFramePr>
        <xdr:cNvPr id="35191" name="Gráfico 1">
          <a:extLst>
            <a:ext uri="{FF2B5EF4-FFF2-40B4-BE49-F238E27FC236}">
              <a16:creationId xmlns:a16="http://schemas.microsoft.com/office/drawing/2014/main" id="{00000000-0008-0000-1F00-0000778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9525</xdr:colOff>
          <xdr:row>28</xdr:row>
          <xdr:rowOff>19050</xdr:rowOff>
        </xdr:from>
        <xdr:to>
          <xdr:col>1</xdr:col>
          <xdr:colOff>676275</xdr:colOff>
          <xdr:row>29</xdr:row>
          <xdr:rowOff>0</xdr:rowOff>
        </xdr:to>
        <xdr:sp macro="" textlink="">
          <xdr:nvSpPr>
            <xdr:cNvPr id="34817" name="Drop Down 1" hidden="1">
              <a:extLst>
                <a:ext uri="{63B3BB69-23CF-44E3-9099-C40C66FF867C}">
                  <a14:compatExt spid="_x0000_s34817"/>
                </a:ext>
                <a:ext uri="{FF2B5EF4-FFF2-40B4-BE49-F238E27FC236}">
                  <a16:creationId xmlns:a16="http://schemas.microsoft.com/office/drawing/2014/main" id="{00000000-0008-0000-1F00-0000018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721995</xdr:colOff>
      <xdr:row>34</xdr:row>
      <xdr:rowOff>161925</xdr:rowOff>
    </xdr:from>
    <xdr:to>
      <xdr:col>3</xdr:col>
      <xdr:colOff>20955</xdr:colOff>
      <xdr:row>36</xdr:row>
      <xdr:rowOff>66674</xdr:rowOff>
    </xdr:to>
    <xdr:sp macro="" textlink="">
      <xdr:nvSpPr>
        <xdr:cNvPr id="3" name="Retângulo 2">
          <a:extLst>
            <a:ext uri="{FF2B5EF4-FFF2-40B4-BE49-F238E27FC236}">
              <a16:creationId xmlns:a16="http://schemas.microsoft.com/office/drawing/2014/main" id="{00000000-0008-0000-1F00-000003000000}"/>
            </a:ext>
          </a:extLst>
        </xdr:cNvPr>
        <xdr:cNvSpPr/>
      </xdr:nvSpPr>
      <xdr:spPr>
        <a:xfrm>
          <a:off x="721995" y="6372225"/>
          <a:ext cx="1823085" cy="285749"/>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9525</xdr:colOff>
      <xdr:row>1</xdr:row>
      <xdr:rowOff>180975</xdr:rowOff>
    </xdr:from>
    <xdr:to>
      <xdr:col>4</xdr:col>
      <xdr:colOff>19050</xdr:colOff>
      <xdr:row>4</xdr:row>
      <xdr:rowOff>28575</xdr:rowOff>
    </xdr:to>
    <xdr:sp macro="" textlink="">
      <xdr:nvSpPr>
        <xdr:cNvPr id="4" name="Retângulo 3">
          <a:extLst>
            <a:ext uri="{FF2B5EF4-FFF2-40B4-BE49-F238E27FC236}">
              <a16:creationId xmlns:a16="http://schemas.microsoft.com/office/drawing/2014/main" id="{00000000-0008-0000-1F00-000004000000}"/>
            </a:ext>
          </a:extLst>
        </xdr:cNvPr>
        <xdr:cNvSpPr/>
      </xdr:nvSpPr>
      <xdr:spPr>
        <a:xfrm>
          <a:off x="771525" y="342900"/>
          <a:ext cx="2552700" cy="36195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9525</xdr:colOff>
          <xdr:row>7</xdr:row>
          <xdr:rowOff>685800</xdr:rowOff>
        </xdr:from>
        <xdr:to>
          <xdr:col>10</xdr:col>
          <xdr:colOff>28575</xdr:colOff>
          <xdr:row>7</xdr:row>
          <xdr:rowOff>895350</xdr:rowOff>
        </xdr:to>
        <xdr:sp macro="" textlink="">
          <xdr:nvSpPr>
            <xdr:cNvPr id="35841" name="Drop Down 1" hidden="1">
              <a:extLst>
                <a:ext uri="{63B3BB69-23CF-44E3-9099-C40C66FF867C}">
                  <a14:compatExt spid="_x0000_s35841"/>
                </a:ext>
                <a:ext uri="{FF2B5EF4-FFF2-40B4-BE49-F238E27FC236}">
                  <a16:creationId xmlns:a16="http://schemas.microsoft.com/office/drawing/2014/main" id="{00000000-0008-0000-2000-000001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8</xdr:row>
          <xdr:rowOff>685800</xdr:rowOff>
        </xdr:from>
        <xdr:to>
          <xdr:col>10</xdr:col>
          <xdr:colOff>28575</xdr:colOff>
          <xdr:row>8</xdr:row>
          <xdr:rowOff>895350</xdr:rowOff>
        </xdr:to>
        <xdr:sp macro="" textlink="">
          <xdr:nvSpPr>
            <xdr:cNvPr id="35842" name="Drop Down 2" hidden="1">
              <a:extLst>
                <a:ext uri="{63B3BB69-23CF-44E3-9099-C40C66FF867C}">
                  <a14:compatExt spid="_x0000_s35842"/>
                </a:ext>
                <a:ext uri="{FF2B5EF4-FFF2-40B4-BE49-F238E27FC236}">
                  <a16:creationId xmlns:a16="http://schemas.microsoft.com/office/drawing/2014/main" id="{00000000-0008-0000-2000-000002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9</xdr:row>
          <xdr:rowOff>685800</xdr:rowOff>
        </xdr:from>
        <xdr:to>
          <xdr:col>10</xdr:col>
          <xdr:colOff>28575</xdr:colOff>
          <xdr:row>9</xdr:row>
          <xdr:rowOff>895350</xdr:rowOff>
        </xdr:to>
        <xdr:sp macro="" textlink="">
          <xdr:nvSpPr>
            <xdr:cNvPr id="35843" name="Drop Down 3" hidden="1">
              <a:extLst>
                <a:ext uri="{63B3BB69-23CF-44E3-9099-C40C66FF867C}">
                  <a14:compatExt spid="_x0000_s35843"/>
                </a:ext>
                <a:ext uri="{FF2B5EF4-FFF2-40B4-BE49-F238E27FC236}">
                  <a16:creationId xmlns:a16="http://schemas.microsoft.com/office/drawing/2014/main" id="{00000000-0008-0000-2000-000003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11</xdr:row>
          <xdr:rowOff>685800</xdr:rowOff>
        </xdr:from>
        <xdr:to>
          <xdr:col>10</xdr:col>
          <xdr:colOff>28575</xdr:colOff>
          <xdr:row>11</xdr:row>
          <xdr:rowOff>895350</xdr:rowOff>
        </xdr:to>
        <xdr:sp macro="" textlink="">
          <xdr:nvSpPr>
            <xdr:cNvPr id="35844" name="Drop Down 4" hidden="1">
              <a:extLst>
                <a:ext uri="{63B3BB69-23CF-44E3-9099-C40C66FF867C}">
                  <a14:compatExt spid="_x0000_s35844"/>
                </a:ext>
                <a:ext uri="{FF2B5EF4-FFF2-40B4-BE49-F238E27FC236}">
                  <a16:creationId xmlns:a16="http://schemas.microsoft.com/office/drawing/2014/main" id="{00000000-0008-0000-2000-000004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10</xdr:row>
          <xdr:rowOff>200025</xdr:rowOff>
        </xdr:from>
        <xdr:to>
          <xdr:col>10</xdr:col>
          <xdr:colOff>28575</xdr:colOff>
          <xdr:row>10</xdr:row>
          <xdr:rowOff>333375</xdr:rowOff>
        </xdr:to>
        <xdr:sp macro="" textlink="">
          <xdr:nvSpPr>
            <xdr:cNvPr id="35845" name="Drop Down 5" hidden="1">
              <a:extLst>
                <a:ext uri="{63B3BB69-23CF-44E3-9099-C40C66FF867C}">
                  <a14:compatExt spid="_x0000_s35845"/>
                </a:ext>
                <a:ext uri="{FF2B5EF4-FFF2-40B4-BE49-F238E27FC236}">
                  <a16:creationId xmlns:a16="http://schemas.microsoft.com/office/drawing/2014/main" id="{00000000-0008-0000-2000-000005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13</xdr:row>
          <xdr:rowOff>9525</xdr:rowOff>
        </xdr:from>
        <xdr:to>
          <xdr:col>10</xdr:col>
          <xdr:colOff>28575</xdr:colOff>
          <xdr:row>13</xdr:row>
          <xdr:rowOff>200025</xdr:rowOff>
        </xdr:to>
        <xdr:sp macro="" textlink="">
          <xdr:nvSpPr>
            <xdr:cNvPr id="35846" name="Drop Down 6" hidden="1">
              <a:extLst>
                <a:ext uri="{63B3BB69-23CF-44E3-9099-C40C66FF867C}">
                  <a14:compatExt spid="_x0000_s35846"/>
                </a:ext>
                <a:ext uri="{FF2B5EF4-FFF2-40B4-BE49-F238E27FC236}">
                  <a16:creationId xmlns:a16="http://schemas.microsoft.com/office/drawing/2014/main" id="{00000000-0008-0000-2000-000006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23</xdr:row>
          <xdr:rowOff>190500</xdr:rowOff>
        </xdr:from>
        <xdr:to>
          <xdr:col>10</xdr:col>
          <xdr:colOff>28575</xdr:colOff>
          <xdr:row>23</xdr:row>
          <xdr:rowOff>381000</xdr:rowOff>
        </xdr:to>
        <xdr:sp macro="" textlink="">
          <xdr:nvSpPr>
            <xdr:cNvPr id="35848" name="Drop Down 8" hidden="1">
              <a:extLst>
                <a:ext uri="{63B3BB69-23CF-44E3-9099-C40C66FF867C}">
                  <a14:compatExt spid="_x0000_s35848"/>
                </a:ext>
                <a:ext uri="{FF2B5EF4-FFF2-40B4-BE49-F238E27FC236}">
                  <a16:creationId xmlns:a16="http://schemas.microsoft.com/office/drawing/2014/main" id="{00000000-0008-0000-2000-000008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24</xdr:row>
          <xdr:rowOff>361950</xdr:rowOff>
        </xdr:from>
        <xdr:to>
          <xdr:col>10</xdr:col>
          <xdr:colOff>28575</xdr:colOff>
          <xdr:row>24</xdr:row>
          <xdr:rowOff>571500</xdr:rowOff>
        </xdr:to>
        <xdr:sp macro="" textlink="">
          <xdr:nvSpPr>
            <xdr:cNvPr id="35850" name="Drop Down 10" hidden="1">
              <a:extLst>
                <a:ext uri="{63B3BB69-23CF-44E3-9099-C40C66FF867C}">
                  <a14:compatExt spid="_x0000_s35850"/>
                </a:ext>
                <a:ext uri="{FF2B5EF4-FFF2-40B4-BE49-F238E27FC236}">
                  <a16:creationId xmlns:a16="http://schemas.microsoft.com/office/drawing/2014/main" id="{00000000-0008-0000-2000-00000A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25</xdr:row>
          <xdr:rowOff>381000</xdr:rowOff>
        </xdr:from>
        <xdr:to>
          <xdr:col>10</xdr:col>
          <xdr:colOff>28575</xdr:colOff>
          <xdr:row>25</xdr:row>
          <xdr:rowOff>590550</xdr:rowOff>
        </xdr:to>
        <xdr:sp macro="" textlink="">
          <xdr:nvSpPr>
            <xdr:cNvPr id="35852" name="Drop Down 12" hidden="1">
              <a:extLst>
                <a:ext uri="{63B3BB69-23CF-44E3-9099-C40C66FF867C}">
                  <a14:compatExt spid="_x0000_s35852"/>
                </a:ext>
                <a:ext uri="{FF2B5EF4-FFF2-40B4-BE49-F238E27FC236}">
                  <a16:creationId xmlns:a16="http://schemas.microsoft.com/office/drawing/2014/main" id="{00000000-0008-0000-2000-00000C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27</xdr:row>
          <xdr:rowOff>171450</xdr:rowOff>
        </xdr:from>
        <xdr:to>
          <xdr:col>10</xdr:col>
          <xdr:colOff>28575</xdr:colOff>
          <xdr:row>27</xdr:row>
          <xdr:rowOff>381000</xdr:rowOff>
        </xdr:to>
        <xdr:sp macro="" textlink="">
          <xdr:nvSpPr>
            <xdr:cNvPr id="35853" name="Drop Down 13" hidden="1">
              <a:extLst>
                <a:ext uri="{63B3BB69-23CF-44E3-9099-C40C66FF867C}">
                  <a14:compatExt spid="_x0000_s35853"/>
                </a:ext>
                <a:ext uri="{FF2B5EF4-FFF2-40B4-BE49-F238E27FC236}">
                  <a16:creationId xmlns:a16="http://schemas.microsoft.com/office/drawing/2014/main" id="{00000000-0008-0000-2000-00000D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28</xdr:row>
          <xdr:rowOff>323850</xdr:rowOff>
        </xdr:from>
        <xdr:to>
          <xdr:col>10</xdr:col>
          <xdr:colOff>28575</xdr:colOff>
          <xdr:row>28</xdr:row>
          <xdr:rowOff>533400</xdr:rowOff>
        </xdr:to>
        <xdr:sp macro="" textlink="">
          <xdr:nvSpPr>
            <xdr:cNvPr id="35858" name="Drop Down 18" hidden="1">
              <a:extLst>
                <a:ext uri="{63B3BB69-23CF-44E3-9099-C40C66FF867C}">
                  <a14:compatExt spid="_x0000_s35858"/>
                </a:ext>
                <a:ext uri="{FF2B5EF4-FFF2-40B4-BE49-F238E27FC236}">
                  <a16:creationId xmlns:a16="http://schemas.microsoft.com/office/drawing/2014/main" id="{00000000-0008-0000-2000-000012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18</xdr:row>
          <xdr:rowOff>323850</xdr:rowOff>
        </xdr:from>
        <xdr:to>
          <xdr:col>10</xdr:col>
          <xdr:colOff>28575</xdr:colOff>
          <xdr:row>18</xdr:row>
          <xdr:rowOff>533400</xdr:rowOff>
        </xdr:to>
        <xdr:sp macro="" textlink="">
          <xdr:nvSpPr>
            <xdr:cNvPr id="35860" name="Drop Down 20" hidden="1">
              <a:extLst>
                <a:ext uri="{63B3BB69-23CF-44E3-9099-C40C66FF867C}">
                  <a14:compatExt spid="_x0000_s35860"/>
                </a:ext>
                <a:ext uri="{FF2B5EF4-FFF2-40B4-BE49-F238E27FC236}">
                  <a16:creationId xmlns:a16="http://schemas.microsoft.com/office/drawing/2014/main" id="{00000000-0008-0000-2000-000014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19</xdr:row>
          <xdr:rowOff>428625</xdr:rowOff>
        </xdr:from>
        <xdr:to>
          <xdr:col>10</xdr:col>
          <xdr:colOff>28575</xdr:colOff>
          <xdr:row>19</xdr:row>
          <xdr:rowOff>628650</xdr:rowOff>
        </xdr:to>
        <xdr:sp macro="" textlink="">
          <xdr:nvSpPr>
            <xdr:cNvPr id="35861" name="Drop Down 21" hidden="1">
              <a:extLst>
                <a:ext uri="{63B3BB69-23CF-44E3-9099-C40C66FF867C}">
                  <a14:compatExt spid="_x0000_s35861"/>
                </a:ext>
                <a:ext uri="{FF2B5EF4-FFF2-40B4-BE49-F238E27FC236}">
                  <a16:creationId xmlns:a16="http://schemas.microsoft.com/office/drawing/2014/main" id="{00000000-0008-0000-2000-000015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20</xdr:row>
          <xdr:rowOff>428625</xdr:rowOff>
        </xdr:from>
        <xdr:to>
          <xdr:col>10</xdr:col>
          <xdr:colOff>28575</xdr:colOff>
          <xdr:row>20</xdr:row>
          <xdr:rowOff>638175</xdr:rowOff>
        </xdr:to>
        <xdr:sp macro="" textlink="">
          <xdr:nvSpPr>
            <xdr:cNvPr id="35862" name="Drop Down 22" hidden="1">
              <a:extLst>
                <a:ext uri="{63B3BB69-23CF-44E3-9099-C40C66FF867C}">
                  <a14:compatExt spid="_x0000_s35862"/>
                </a:ext>
                <a:ext uri="{FF2B5EF4-FFF2-40B4-BE49-F238E27FC236}">
                  <a16:creationId xmlns:a16="http://schemas.microsoft.com/office/drawing/2014/main" id="{00000000-0008-0000-2000-000016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26</xdr:row>
          <xdr:rowOff>190500</xdr:rowOff>
        </xdr:from>
        <xdr:to>
          <xdr:col>10</xdr:col>
          <xdr:colOff>28575</xdr:colOff>
          <xdr:row>26</xdr:row>
          <xdr:rowOff>352425</xdr:rowOff>
        </xdr:to>
        <xdr:sp macro="" textlink="">
          <xdr:nvSpPr>
            <xdr:cNvPr id="35863" name="Drop Down 23" hidden="1">
              <a:extLst>
                <a:ext uri="{63B3BB69-23CF-44E3-9099-C40C66FF867C}">
                  <a14:compatExt spid="_x0000_s35863"/>
                </a:ext>
                <a:ext uri="{FF2B5EF4-FFF2-40B4-BE49-F238E27FC236}">
                  <a16:creationId xmlns:a16="http://schemas.microsoft.com/office/drawing/2014/main" id="{00000000-0008-0000-2000-000017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21</xdr:row>
          <xdr:rowOff>438150</xdr:rowOff>
        </xdr:from>
        <xdr:to>
          <xdr:col>10</xdr:col>
          <xdr:colOff>28575</xdr:colOff>
          <xdr:row>21</xdr:row>
          <xdr:rowOff>628650</xdr:rowOff>
        </xdr:to>
        <xdr:sp macro="" textlink="">
          <xdr:nvSpPr>
            <xdr:cNvPr id="35864" name="Drop Down 24" hidden="1">
              <a:extLst>
                <a:ext uri="{63B3BB69-23CF-44E3-9099-C40C66FF867C}">
                  <a14:compatExt spid="_x0000_s35864"/>
                </a:ext>
                <a:ext uri="{FF2B5EF4-FFF2-40B4-BE49-F238E27FC236}">
                  <a16:creationId xmlns:a16="http://schemas.microsoft.com/office/drawing/2014/main" id="{00000000-0008-0000-2000-000018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9525</xdr:colOff>
          <xdr:row>22</xdr:row>
          <xdr:rowOff>428625</xdr:rowOff>
        </xdr:from>
        <xdr:to>
          <xdr:col>10</xdr:col>
          <xdr:colOff>28575</xdr:colOff>
          <xdr:row>22</xdr:row>
          <xdr:rowOff>638175</xdr:rowOff>
        </xdr:to>
        <xdr:sp macro="" textlink="">
          <xdr:nvSpPr>
            <xdr:cNvPr id="35865" name="Drop Down 25" hidden="1">
              <a:extLst>
                <a:ext uri="{63B3BB69-23CF-44E3-9099-C40C66FF867C}">
                  <a14:compatExt spid="_x0000_s35865"/>
                </a:ext>
                <a:ext uri="{FF2B5EF4-FFF2-40B4-BE49-F238E27FC236}">
                  <a16:creationId xmlns:a16="http://schemas.microsoft.com/office/drawing/2014/main" id="{00000000-0008-0000-2000-000019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xdr:col>
      <xdr:colOff>5715</xdr:colOff>
      <xdr:row>3</xdr:row>
      <xdr:rowOff>167640</xdr:rowOff>
    </xdr:from>
    <xdr:to>
      <xdr:col>4</xdr:col>
      <xdr:colOff>5715</xdr:colOff>
      <xdr:row>9</xdr:row>
      <xdr:rowOff>5715</xdr:rowOff>
    </xdr:to>
    <xdr:sp macro="" textlink="">
      <xdr:nvSpPr>
        <xdr:cNvPr id="2" name="Retângulo 1">
          <a:extLst>
            <a:ext uri="{FF2B5EF4-FFF2-40B4-BE49-F238E27FC236}">
              <a16:creationId xmlns:a16="http://schemas.microsoft.com/office/drawing/2014/main" id="{00000000-0008-0000-0100-000002000000}"/>
            </a:ext>
          </a:extLst>
        </xdr:cNvPr>
        <xdr:cNvSpPr/>
      </xdr:nvSpPr>
      <xdr:spPr>
        <a:xfrm>
          <a:off x="2672715" y="758190"/>
          <a:ext cx="847725" cy="99060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0</xdr:colOff>
      <xdr:row>44</xdr:row>
      <xdr:rowOff>9525</xdr:rowOff>
    </xdr:from>
    <xdr:to>
      <xdr:col>12</xdr:col>
      <xdr:colOff>0</xdr:colOff>
      <xdr:row>46</xdr:row>
      <xdr:rowOff>20955</xdr:rowOff>
    </xdr:to>
    <xdr:sp macro="" textlink="">
      <xdr:nvSpPr>
        <xdr:cNvPr id="3" name="Retângulo 2">
          <a:extLst>
            <a:ext uri="{FF2B5EF4-FFF2-40B4-BE49-F238E27FC236}">
              <a16:creationId xmlns:a16="http://schemas.microsoft.com/office/drawing/2014/main" id="{00000000-0008-0000-0100-000003000000}"/>
            </a:ext>
          </a:extLst>
        </xdr:cNvPr>
        <xdr:cNvSpPr/>
      </xdr:nvSpPr>
      <xdr:spPr>
        <a:xfrm>
          <a:off x="1314450" y="8543925"/>
          <a:ext cx="8496300" cy="39243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268605</xdr:colOff>
      <xdr:row>15</xdr:row>
      <xdr:rowOff>158116</xdr:rowOff>
    </xdr:from>
    <xdr:to>
      <xdr:col>10</xdr:col>
      <xdr:colOff>657225</xdr:colOff>
      <xdr:row>18</xdr:row>
      <xdr:rowOff>180976</xdr:rowOff>
    </xdr:to>
    <xdr:sp macro="" textlink="">
      <xdr:nvSpPr>
        <xdr:cNvPr id="4" name="Retângulo 3">
          <a:extLst>
            <a:ext uri="{FF2B5EF4-FFF2-40B4-BE49-F238E27FC236}">
              <a16:creationId xmlns:a16="http://schemas.microsoft.com/office/drawing/2014/main" id="{00000000-0008-0000-0100-000004000000}"/>
            </a:ext>
          </a:extLst>
        </xdr:cNvPr>
        <xdr:cNvSpPr/>
      </xdr:nvSpPr>
      <xdr:spPr>
        <a:xfrm>
          <a:off x="268605" y="3044191"/>
          <a:ext cx="8827770" cy="641985"/>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1335404</xdr:colOff>
      <xdr:row>20</xdr:row>
      <xdr:rowOff>173355</xdr:rowOff>
    </xdr:from>
    <xdr:to>
      <xdr:col>3</xdr:col>
      <xdr:colOff>828675</xdr:colOff>
      <xdr:row>23</xdr:row>
      <xdr:rowOff>9525</xdr:rowOff>
    </xdr:to>
    <xdr:sp macro="" textlink="">
      <xdr:nvSpPr>
        <xdr:cNvPr id="6" name="Retângulo 5">
          <a:extLst>
            <a:ext uri="{FF2B5EF4-FFF2-40B4-BE49-F238E27FC236}">
              <a16:creationId xmlns:a16="http://schemas.microsoft.com/office/drawing/2014/main" id="{00000000-0008-0000-0100-000006000000}"/>
            </a:ext>
          </a:extLst>
        </xdr:cNvPr>
        <xdr:cNvSpPr/>
      </xdr:nvSpPr>
      <xdr:spPr>
        <a:xfrm>
          <a:off x="2649854" y="4059555"/>
          <a:ext cx="845821" cy="40767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23</xdr:row>
          <xdr:rowOff>9525</xdr:rowOff>
        </xdr:from>
        <xdr:to>
          <xdr:col>1</xdr:col>
          <xdr:colOff>676275</xdr:colOff>
          <xdr:row>24</xdr:row>
          <xdr:rowOff>47625</xdr:rowOff>
        </xdr:to>
        <xdr:sp macro="" textlink="">
          <xdr:nvSpPr>
            <xdr:cNvPr id="36865" name="Drop Down 1" hidden="1">
              <a:extLst>
                <a:ext uri="{63B3BB69-23CF-44E3-9099-C40C66FF867C}">
                  <a14:compatExt spid="_x0000_s36865"/>
                </a:ext>
                <a:ext uri="{FF2B5EF4-FFF2-40B4-BE49-F238E27FC236}">
                  <a16:creationId xmlns:a16="http://schemas.microsoft.com/office/drawing/2014/main" id="{00000000-0008-0000-2100-0000019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xdr:twoCellAnchor>
    <xdr:from>
      <xdr:col>1</xdr:col>
      <xdr:colOff>3329940</xdr:colOff>
      <xdr:row>3</xdr:row>
      <xdr:rowOff>161925</xdr:rowOff>
    </xdr:from>
    <xdr:to>
      <xdr:col>3</xdr:col>
      <xdr:colOff>0</xdr:colOff>
      <xdr:row>49</xdr:row>
      <xdr:rowOff>24765</xdr:rowOff>
    </xdr:to>
    <xdr:sp macro="" textlink="">
      <xdr:nvSpPr>
        <xdr:cNvPr id="2" name="Retângulo 1">
          <a:extLst>
            <a:ext uri="{FF2B5EF4-FFF2-40B4-BE49-F238E27FC236}">
              <a16:creationId xmlns:a16="http://schemas.microsoft.com/office/drawing/2014/main" id="{00000000-0008-0000-2300-000002000000}"/>
            </a:ext>
          </a:extLst>
        </xdr:cNvPr>
        <xdr:cNvSpPr/>
      </xdr:nvSpPr>
      <xdr:spPr>
        <a:xfrm>
          <a:off x="3939540" y="695325"/>
          <a:ext cx="1165860" cy="746379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4</xdr:col>
      <xdr:colOff>15240</xdr:colOff>
      <xdr:row>4</xdr:row>
      <xdr:rowOff>11430</xdr:rowOff>
    </xdr:from>
    <xdr:to>
      <xdr:col>5</xdr:col>
      <xdr:colOff>600075</xdr:colOff>
      <xdr:row>4</xdr:row>
      <xdr:rowOff>200025</xdr:rowOff>
    </xdr:to>
    <xdr:sp macro="" textlink="">
      <xdr:nvSpPr>
        <xdr:cNvPr id="2" name="Retângulo 1">
          <a:extLst>
            <a:ext uri="{FF2B5EF4-FFF2-40B4-BE49-F238E27FC236}">
              <a16:creationId xmlns:a16="http://schemas.microsoft.com/office/drawing/2014/main" id="{00000000-0008-0000-2400-000002000000}"/>
            </a:ext>
          </a:extLst>
        </xdr:cNvPr>
        <xdr:cNvSpPr/>
      </xdr:nvSpPr>
      <xdr:spPr>
        <a:xfrm>
          <a:off x="2453640" y="963930"/>
          <a:ext cx="1194435" cy="188595"/>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3</xdr:col>
      <xdr:colOff>600075</xdr:colOff>
      <xdr:row>12</xdr:row>
      <xdr:rowOff>142875</xdr:rowOff>
    </xdr:from>
    <xdr:to>
      <xdr:col>5</xdr:col>
      <xdr:colOff>17145</xdr:colOff>
      <xdr:row>14</xdr:row>
      <xdr:rowOff>154305</xdr:rowOff>
    </xdr:to>
    <xdr:sp macro="" textlink="">
      <xdr:nvSpPr>
        <xdr:cNvPr id="3" name="Retângulo 2">
          <a:extLst>
            <a:ext uri="{FF2B5EF4-FFF2-40B4-BE49-F238E27FC236}">
              <a16:creationId xmlns:a16="http://schemas.microsoft.com/office/drawing/2014/main" id="{00000000-0008-0000-2400-000003000000}"/>
            </a:ext>
          </a:extLst>
        </xdr:cNvPr>
        <xdr:cNvSpPr/>
      </xdr:nvSpPr>
      <xdr:spPr>
        <a:xfrm>
          <a:off x="2428875" y="2790825"/>
          <a:ext cx="636270" cy="335280"/>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20955</xdr:colOff>
      <xdr:row>8</xdr:row>
      <xdr:rowOff>144780</xdr:rowOff>
    </xdr:from>
    <xdr:to>
      <xdr:col>5</xdr:col>
      <xdr:colOff>19050</xdr:colOff>
      <xdr:row>10</xdr:row>
      <xdr:rowOff>0</xdr:rowOff>
    </xdr:to>
    <xdr:sp macro="" textlink="">
      <xdr:nvSpPr>
        <xdr:cNvPr id="2" name="Retângulo 1">
          <a:extLst>
            <a:ext uri="{FF2B5EF4-FFF2-40B4-BE49-F238E27FC236}">
              <a16:creationId xmlns:a16="http://schemas.microsoft.com/office/drawing/2014/main" id="{00000000-0008-0000-0200-000002000000}"/>
            </a:ext>
          </a:extLst>
        </xdr:cNvPr>
        <xdr:cNvSpPr/>
      </xdr:nvSpPr>
      <xdr:spPr>
        <a:xfrm>
          <a:off x="2306955" y="1668780"/>
          <a:ext cx="1303020" cy="17907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866774</xdr:colOff>
      <xdr:row>4</xdr:row>
      <xdr:rowOff>171450</xdr:rowOff>
    </xdr:from>
    <xdr:to>
      <xdr:col>3</xdr:col>
      <xdr:colOff>407669</xdr:colOff>
      <xdr:row>6</xdr:row>
      <xdr:rowOff>196215</xdr:rowOff>
    </xdr:to>
    <xdr:sp macro="" textlink="">
      <xdr:nvSpPr>
        <xdr:cNvPr id="3" name="Retângulo 2">
          <a:extLst>
            <a:ext uri="{FF2B5EF4-FFF2-40B4-BE49-F238E27FC236}">
              <a16:creationId xmlns:a16="http://schemas.microsoft.com/office/drawing/2014/main" id="{00000000-0008-0000-0200-000003000000}"/>
            </a:ext>
          </a:extLst>
        </xdr:cNvPr>
        <xdr:cNvSpPr/>
      </xdr:nvSpPr>
      <xdr:spPr>
        <a:xfrm>
          <a:off x="2266949" y="952500"/>
          <a:ext cx="426720" cy="405765"/>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893444</xdr:colOff>
      <xdr:row>1</xdr:row>
      <xdr:rowOff>180975</xdr:rowOff>
    </xdr:from>
    <xdr:to>
      <xdr:col>4</xdr:col>
      <xdr:colOff>3809</xdr:colOff>
      <xdr:row>3</xdr:row>
      <xdr:rowOff>24765</xdr:rowOff>
    </xdr:to>
    <xdr:sp macro="" textlink="">
      <xdr:nvSpPr>
        <xdr:cNvPr id="4" name="Retângulo 3">
          <a:extLst>
            <a:ext uri="{FF2B5EF4-FFF2-40B4-BE49-F238E27FC236}">
              <a16:creationId xmlns:a16="http://schemas.microsoft.com/office/drawing/2014/main" id="{00000000-0008-0000-0200-000004000000}"/>
            </a:ext>
          </a:extLst>
        </xdr:cNvPr>
        <xdr:cNvSpPr/>
      </xdr:nvSpPr>
      <xdr:spPr>
        <a:xfrm>
          <a:off x="2331719" y="371475"/>
          <a:ext cx="462915" cy="386715"/>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24765</xdr:colOff>
      <xdr:row>18</xdr:row>
      <xdr:rowOff>15240</xdr:rowOff>
    </xdr:from>
    <xdr:to>
      <xdr:col>5</xdr:col>
      <xdr:colOff>2095500</xdr:colOff>
      <xdr:row>24</xdr:row>
      <xdr:rowOff>161925</xdr:rowOff>
    </xdr:to>
    <xdr:sp macro="" textlink="">
      <xdr:nvSpPr>
        <xdr:cNvPr id="2" name="Retângulo 1">
          <a:extLst>
            <a:ext uri="{FF2B5EF4-FFF2-40B4-BE49-F238E27FC236}">
              <a16:creationId xmlns:a16="http://schemas.microsoft.com/office/drawing/2014/main" id="{00000000-0008-0000-0300-000002000000}"/>
            </a:ext>
          </a:extLst>
        </xdr:cNvPr>
        <xdr:cNvSpPr/>
      </xdr:nvSpPr>
      <xdr:spPr>
        <a:xfrm>
          <a:off x="3034665" y="3320415"/>
          <a:ext cx="10557510" cy="124206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3</xdr:col>
      <xdr:colOff>2613660</xdr:colOff>
      <xdr:row>29</xdr:row>
      <xdr:rowOff>167640</xdr:rowOff>
    </xdr:from>
    <xdr:to>
      <xdr:col>7</xdr:col>
      <xdr:colOff>2002155</xdr:colOff>
      <xdr:row>110</xdr:row>
      <xdr:rowOff>17145</xdr:rowOff>
    </xdr:to>
    <xdr:sp macro="" textlink="">
      <xdr:nvSpPr>
        <xdr:cNvPr id="3" name="Retângulo 2">
          <a:extLst>
            <a:ext uri="{FF2B5EF4-FFF2-40B4-BE49-F238E27FC236}">
              <a16:creationId xmlns:a16="http://schemas.microsoft.com/office/drawing/2014/main" id="{00000000-0008-0000-0300-000003000000}"/>
            </a:ext>
          </a:extLst>
        </xdr:cNvPr>
        <xdr:cNvSpPr/>
      </xdr:nvSpPr>
      <xdr:spPr>
        <a:xfrm>
          <a:off x="8945880" y="5516880"/>
          <a:ext cx="8540115" cy="14662785"/>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15241</xdr:colOff>
      <xdr:row>114</xdr:row>
      <xdr:rowOff>139065</xdr:rowOff>
    </xdr:from>
    <xdr:to>
      <xdr:col>3</xdr:col>
      <xdr:colOff>47626</xdr:colOff>
      <xdr:row>120</xdr:row>
      <xdr:rowOff>57150</xdr:rowOff>
    </xdr:to>
    <xdr:sp macro="" textlink="">
      <xdr:nvSpPr>
        <xdr:cNvPr id="4" name="Retângulo 3">
          <a:extLst>
            <a:ext uri="{FF2B5EF4-FFF2-40B4-BE49-F238E27FC236}">
              <a16:creationId xmlns:a16="http://schemas.microsoft.com/office/drawing/2014/main" id="{00000000-0008-0000-0300-000004000000}"/>
            </a:ext>
          </a:extLst>
        </xdr:cNvPr>
        <xdr:cNvSpPr/>
      </xdr:nvSpPr>
      <xdr:spPr>
        <a:xfrm>
          <a:off x="3025141" y="18474690"/>
          <a:ext cx="3356610" cy="1003935"/>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1855470</xdr:colOff>
      <xdr:row>3</xdr:row>
      <xdr:rowOff>182880</xdr:rowOff>
    </xdr:from>
    <xdr:to>
      <xdr:col>4</xdr:col>
      <xdr:colOff>986790</xdr:colOff>
      <xdr:row>5</xdr:row>
      <xdr:rowOff>1905</xdr:rowOff>
    </xdr:to>
    <xdr:sp macro="" textlink="">
      <xdr:nvSpPr>
        <xdr:cNvPr id="2" name="Retângulo 1">
          <a:extLst>
            <a:ext uri="{FF2B5EF4-FFF2-40B4-BE49-F238E27FC236}">
              <a16:creationId xmlns:a16="http://schemas.microsoft.com/office/drawing/2014/main" id="{00000000-0008-0000-0400-000002000000}"/>
            </a:ext>
          </a:extLst>
        </xdr:cNvPr>
        <xdr:cNvSpPr/>
      </xdr:nvSpPr>
      <xdr:spPr>
        <a:xfrm>
          <a:off x="4084320" y="773430"/>
          <a:ext cx="998220" cy="200025"/>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1388745</xdr:colOff>
      <xdr:row>15</xdr:row>
      <xdr:rowOff>182879</xdr:rowOff>
    </xdr:from>
    <xdr:to>
      <xdr:col>3</xdr:col>
      <xdr:colOff>9525</xdr:colOff>
      <xdr:row>18</xdr:row>
      <xdr:rowOff>9524</xdr:rowOff>
    </xdr:to>
    <xdr:sp macro="" textlink="">
      <xdr:nvSpPr>
        <xdr:cNvPr id="3" name="Retângulo 2">
          <a:extLst>
            <a:ext uri="{FF2B5EF4-FFF2-40B4-BE49-F238E27FC236}">
              <a16:creationId xmlns:a16="http://schemas.microsoft.com/office/drawing/2014/main" id="{00000000-0008-0000-0400-000003000000}"/>
            </a:ext>
          </a:extLst>
        </xdr:cNvPr>
        <xdr:cNvSpPr/>
      </xdr:nvSpPr>
      <xdr:spPr>
        <a:xfrm>
          <a:off x="1884045" y="3068954"/>
          <a:ext cx="354330" cy="398145"/>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3</xdr:col>
      <xdr:colOff>1920240</xdr:colOff>
      <xdr:row>22</xdr:row>
      <xdr:rowOff>169544</xdr:rowOff>
    </xdr:from>
    <xdr:to>
      <xdr:col>5</xdr:col>
      <xdr:colOff>19050</xdr:colOff>
      <xdr:row>24</xdr:row>
      <xdr:rowOff>9525</xdr:rowOff>
    </xdr:to>
    <xdr:sp macro="" textlink="">
      <xdr:nvSpPr>
        <xdr:cNvPr id="4" name="Retângulo 3">
          <a:extLst>
            <a:ext uri="{FF2B5EF4-FFF2-40B4-BE49-F238E27FC236}">
              <a16:creationId xmlns:a16="http://schemas.microsoft.com/office/drawing/2014/main" id="{00000000-0008-0000-0400-000004000000}"/>
            </a:ext>
          </a:extLst>
        </xdr:cNvPr>
        <xdr:cNvSpPr/>
      </xdr:nvSpPr>
      <xdr:spPr>
        <a:xfrm>
          <a:off x="4215765" y="4179569"/>
          <a:ext cx="1070610" cy="201931"/>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15240</xdr:colOff>
      <xdr:row>52</xdr:row>
      <xdr:rowOff>177165</xdr:rowOff>
    </xdr:from>
    <xdr:to>
      <xdr:col>5</xdr:col>
      <xdr:colOff>2044065</xdr:colOff>
      <xdr:row>59</xdr:row>
      <xdr:rowOff>173355</xdr:rowOff>
    </xdr:to>
    <xdr:sp macro="" textlink="">
      <xdr:nvSpPr>
        <xdr:cNvPr id="2" name="Retângulo 1">
          <a:extLst>
            <a:ext uri="{FF2B5EF4-FFF2-40B4-BE49-F238E27FC236}">
              <a16:creationId xmlns:a16="http://schemas.microsoft.com/office/drawing/2014/main" id="{00000000-0008-0000-0500-000002000000}"/>
            </a:ext>
          </a:extLst>
        </xdr:cNvPr>
        <xdr:cNvSpPr/>
      </xdr:nvSpPr>
      <xdr:spPr>
        <a:xfrm>
          <a:off x="2910840" y="10111740"/>
          <a:ext cx="7981950" cy="132969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2409825</xdr:colOff>
      <xdr:row>8</xdr:row>
      <xdr:rowOff>171450</xdr:rowOff>
    </xdr:from>
    <xdr:to>
      <xdr:col>5</xdr:col>
      <xdr:colOff>2036445</xdr:colOff>
      <xdr:row>16</xdr:row>
      <xdr:rowOff>19050</xdr:rowOff>
    </xdr:to>
    <xdr:sp macro="" textlink="">
      <xdr:nvSpPr>
        <xdr:cNvPr id="3" name="Retângulo 2">
          <a:extLst>
            <a:ext uri="{FF2B5EF4-FFF2-40B4-BE49-F238E27FC236}">
              <a16:creationId xmlns:a16="http://schemas.microsoft.com/office/drawing/2014/main" id="{00000000-0008-0000-0500-000003000000}"/>
            </a:ext>
          </a:extLst>
        </xdr:cNvPr>
        <xdr:cNvSpPr/>
      </xdr:nvSpPr>
      <xdr:spPr>
        <a:xfrm>
          <a:off x="2867025" y="1695450"/>
          <a:ext cx="8018145" cy="1371600"/>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0</xdr:colOff>
      <xdr:row>3</xdr:row>
      <xdr:rowOff>20954</xdr:rowOff>
    </xdr:from>
    <xdr:to>
      <xdr:col>3</xdr:col>
      <xdr:colOff>0</xdr:colOff>
      <xdr:row>4</xdr:row>
      <xdr:rowOff>161924</xdr:rowOff>
    </xdr:to>
    <xdr:sp macro="" textlink="">
      <xdr:nvSpPr>
        <xdr:cNvPr id="4" name="Retângulo 3">
          <a:extLst>
            <a:ext uri="{FF2B5EF4-FFF2-40B4-BE49-F238E27FC236}">
              <a16:creationId xmlns:a16="http://schemas.microsoft.com/office/drawing/2014/main" id="{00000000-0008-0000-0500-000004000000}"/>
            </a:ext>
          </a:extLst>
        </xdr:cNvPr>
        <xdr:cNvSpPr/>
      </xdr:nvSpPr>
      <xdr:spPr>
        <a:xfrm>
          <a:off x="2895600" y="592454"/>
          <a:ext cx="1857375" cy="33147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19050</xdr:colOff>
      <xdr:row>4</xdr:row>
      <xdr:rowOff>188594</xdr:rowOff>
    </xdr:from>
    <xdr:to>
      <xdr:col>7</xdr:col>
      <xdr:colOff>9525</xdr:colOff>
      <xdr:row>11</xdr:row>
      <xdr:rowOff>188594</xdr:rowOff>
    </xdr:to>
    <xdr:sp macro="" textlink="">
      <xdr:nvSpPr>
        <xdr:cNvPr id="2" name="Retângulo 1">
          <a:extLst>
            <a:ext uri="{FF2B5EF4-FFF2-40B4-BE49-F238E27FC236}">
              <a16:creationId xmlns:a16="http://schemas.microsoft.com/office/drawing/2014/main" id="{00000000-0008-0000-0600-000002000000}"/>
            </a:ext>
          </a:extLst>
        </xdr:cNvPr>
        <xdr:cNvSpPr/>
      </xdr:nvSpPr>
      <xdr:spPr>
        <a:xfrm>
          <a:off x="3714750" y="950594"/>
          <a:ext cx="8467725" cy="133350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643890</xdr:colOff>
      <xdr:row>15</xdr:row>
      <xdr:rowOff>177165</xdr:rowOff>
    </xdr:from>
    <xdr:to>
      <xdr:col>4</xdr:col>
      <xdr:colOff>9525</xdr:colOff>
      <xdr:row>21</xdr:row>
      <xdr:rowOff>9525</xdr:rowOff>
    </xdr:to>
    <xdr:sp macro="" textlink="">
      <xdr:nvSpPr>
        <xdr:cNvPr id="3" name="Retângulo 2">
          <a:extLst>
            <a:ext uri="{FF2B5EF4-FFF2-40B4-BE49-F238E27FC236}">
              <a16:creationId xmlns:a16="http://schemas.microsoft.com/office/drawing/2014/main" id="{00000000-0008-0000-0600-000003000000}"/>
            </a:ext>
          </a:extLst>
        </xdr:cNvPr>
        <xdr:cNvSpPr/>
      </xdr:nvSpPr>
      <xdr:spPr>
        <a:xfrm>
          <a:off x="3672840" y="3034665"/>
          <a:ext cx="2366010" cy="975360"/>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2343150</xdr:colOff>
      <xdr:row>10</xdr:row>
      <xdr:rowOff>150496</xdr:rowOff>
    </xdr:from>
    <xdr:to>
      <xdr:col>6</xdr:col>
      <xdr:colOff>9526</xdr:colOff>
      <xdr:row>12</xdr:row>
      <xdr:rowOff>38101</xdr:rowOff>
    </xdr:to>
    <xdr:sp macro="" textlink="">
      <xdr:nvSpPr>
        <xdr:cNvPr id="2" name="Retângulo 1">
          <a:extLst>
            <a:ext uri="{FF2B5EF4-FFF2-40B4-BE49-F238E27FC236}">
              <a16:creationId xmlns:a16="http://schemas.microsoft.com/office/drawing/2014/main" id="{00000000-0008-0000-0700-000002000000}"/>
            </a:ext>
          </a:extLst>
        </xdr:cNvPr>
        <xdr:cNvSpPr/>
      </xdr:nvSpPr>
      <xdr:spPr>
        <a:xfrm>
          <a:off x="5181600" y="2226946"/>
          <a:ext cx="1076326" cy="411480"/>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2400300</xdr:colOff>
      <xdr:row>14</xdr:row>
      <xdr:rowOff>173356</xdr:rowOff>
    </xdr:from>
    <xdr:to>
      <xdr:col>6</xdr:col>
      <xdr:colOff>24766</xdr:colOff>
      <xdr:row>15</xdr:row>
      <xdr:rowOff>358140</xdr:rowOff>
    </xdr:to>
    <xdr:sp macro="" textlink="">
      <xdr:nvSpPr>
        <xdr:cNvPr id="3" name="Retângulo 2">
          <a:extLst>
            <a:ext uri="{FF2B5EF4-FFF2-40B4-BE49-F238E27FC236}">
              <a16:creationId xmlns:a16="http://schemas.microsoft.com/office/drawing/2014/main" id="{00000000-0008-0000-0700-000003000000}"/>
            </a:ext>
          </a:extLst>
        </xdr:cNvPr>
        <xdr:cNvSpPr/>
      </xdr:nvSpPr>
      <xdr:spPr>
        <a:xfrm>
          <a:off x="5324475" y="3154681"/>
          <a:ext cx="1129666" cy="375284"/>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2419350</xdr:colOff>
      <xdr:row>26</xdr:row>
      <xdr:rowOff>100966</xdr:rowOff>
    </xdr:from>
    <xdr:to>
      <xdr:col>6</xdr:col>
      <xdr:colOff>47625</xdr:colOff>
      <xdr:row>28</xdr:row>
      <xdr:rowOff>57150</xdr:rowOff>
    </xdr:to>
    <xdr:sp macro="" textlink="">
      <xdr:nvSpPr>
        <xdr:cNvPr id="4" name="Retângulo 3">
          <a:extLst>
            <a:ext uri="{FF2B5EF4-FFF2-40B4-BE49-F238E27FC236}">
              <a16:creationId xmlns:a16="http://schemas.microsoft.com/office/drawing/2014/main" id="{00000000-0008-0000-0700-000004000000}"/>
            </a:ext>
          </a:extLst>
        </xdr:cNvPr>
        <xdr:cNvSpPr/>
      </xdr:nvSpPr>
      <xdr:spPr>
        <a:xfrm>
          <a:off x="5343525" y="5425441"/>
          <a:ext cx="1133475" cy="451484"/>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2358390</xdr:colOff>
      <xdr:row>49</xdr:row>
      <xdr:rowOff>160021</xdr:rowOff>
    </xdr:from>
    <xdr:to>
      <xdr:col>6</xdr:col>
      <xdr:colOff>19050</xdr:colOff>
      <xdr:row>51</xdr:row>
      <xdr:rowOff>43815</xdr:rowOff>
    </xdr:to>
    <xdr:sp macro="" textlink="">
      <xdr:nvSpPr>
        <xdr:cNvPr id="5" name="Retângulo 4">
          <a:extLst>
            <a:ext uri="{FF2B5EF4-FFF2-40B4-BE49-F238E27FC236}">
              <a16:creationId xmlns:a16="http://schemas.microsoft.com/office/drawing/2014/main" id="{00000000-0008-0000-0700-000005000000}"/>
            </a:ext>
          </a:extLst>
        </xdr:cNvPr>
        <xdr:cNvSpPr/>
      </xdr:nvSpPr>
      <xdr:spPr>
        <a:xfrm>
          <a:off x="5196840" y="9885046"/>
          <a:ext cx="1070610" cy="636269"/>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2383155</xdr:colOff>
      <xdr:row>58</xdr:row>
      <xdr:rowOff>139066</xdr:rowOff>
    </xdr:from>
    <xdr:to>
      <xdr:col>6</xdr:col>
      <xdr:colOff>47625</xdr:colOff>
      <xdr:row>63</xdr:row>
      <xdr:rowOff>47625</xdr:rowOff>
    </xdr:to>
    <xdr:sp macro="" textlink="">
      <xdr:nvSpPr>
        <xdr:cNvPr id="6" name="Retângulo 5">
          <a:extLst>
            <a:ext uri="{FF2B5EF4-FFF2-40B4-BE49-F238E27FC236}">
              <a16:creationId xmlns:a16="http://schemas.microsoft.com/office/drawing/2014/main" id="{00000000-0008-0000-0700-000006000000}"/>
            </a:ext>
          </a:extLst>
        </xdr:cNvPr>
        <xdr:cNvSpPr/>
      </xdr:nvSpPr>
      <xdr:spPr>
        <a:xfrm>
          <a:off x="5221605" y="11892916"/>
          <a:ext cx="1074420" cy="1013459"/>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2379345</xdr:colOff>
      <xdr:row>69</xdr:row>
      <xdr:rowOff>120015</xdr:rowOff>
    </xdr:from>
    <xdr:to>
      <xdr:col>6</xdr:col>
      <xdr:colOff>24765</xdr:colOff>
      <xdr:row>80</xdr:row>
      <xdr:rowOff>19049</xdr:rowOff>
    </xdr:to>
    <xdr:sp macro="" textlink="">
      <xdr:nvSpPr>
        <xdr:cNvPr id="7" name="Retângulo 6">
          <a:extLst>
            <a:ext uri="{FF2B5EF4-FFF2-40B4-BE49-F238E27FC236}">
              <a16:creationId xmlns:a16="http://schemas.microsoft.com/office/drawing/2014/main" id="{00000000-0008-0000-0700-000007000000}"/>
            </a:ext>
          </a:extLst>
        </xdr:cNvPr>
        <xdr:cNvSpPr/>
      </xdr:nvSpPr>
      <xdr:spPr>
        <a:xfrm>
          <a:off x="5217795" y="14121765"/>
          <a:ext cx="1055370" cy="2042159"/>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2371725</xdr:colOff>
      <xdr:row>81</xdr:row>
      <xdr:rowOff>123826</xdr:rowOff>
    </xdr:from>
    <xdr:to>
      <xdr:col>6</xdr:col>
      <xdr:colOff>26670</xdr:colOff>
      <xdr:row>88</xdr:row>
      <xdr:rowOff>66675</xdr:rowOff>
    </xdr:to>
    <xdr:sp macro="" textlink="">
      <xdr:nvSpPr>
        <xdr:cNvPr id="8" name="Retângulo 7">
          <a:extLst>
            <a:ext uri="{FF2B5EF4-FFF2-40B4-BE49-F238E27FC236}">
              <a16:creationId xmlns:a16="http://schemas.microsoft.com/office/drawing/2014/main" id="{00000000-0008-0000-0700-000008000000}"/>
            </a:ext>
          </a:extLst>
        </xdr:cNvPr>
        <xdr:cNvSpPr/>
      </xdr:nvSpPr>
      <xdr:spPr>
        <a:xfrm>
          <a:off x="5210175" y="16430626"/>
          <a:ext cx="1064895" cy="2209799"/>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2428875</xdr:colOff>
      <xdr:row>89</xdr:row>
      <xdr:rowOff>123826</xdr:rowOff>
    </xdr:from>
    <xdr:to>
      <xdr:col>6</xdr:col>
      <xdr:colOff>38100</xdr:colOff>
      <xdr:row>91</xdr:row>
      <xdr:rowOff>38100</xdr:rowOff>
    </xdr:to>
    <xdr:sp macro="" textlink="">
      <xdr:nvSpPr>
        <xdr:cNvPr id="9" name="Retângulo 8">
          <a:extLst>
            <a:ext uri="{FF2B5EF4-FFF2-40B4-BE49-F238E27FC236}">
              <a16:creationId xmlns:a16="http://schemas.microsoft.com/office/drawing/2014/main" id="{00000000-0008-0000-0700-000009000000}"/>
            </a:ext>
          </a:extLst>
        </xdr:cNvPr>
        <xdr:cNvSpPr/>
      </xdr:nvSpPr>
      <xdr:spPr>
        <a:xfrm>
          <a:off x="5353050" y="18583276"/>
          <a:ext cx="1114425" cy="447674"/>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2324100</xdr:colOff>
      <xdr:row>7</xdr:row>
      <xdr:rowOff>135256</xdr:rowOff>
    </xdr:from>
    <xdr:to>
      <xdr:col>5</xdr:col>
      <xdr:colOff>1000126</xdr:colOff>
      <xdr:row>9</xdr:row>
      <xdr:rowOff>34290</xdr:rowOff>
    </xdr:to>
    <xdr:sp macro="" textlink="">
      <xdr:nvSpPr>
        <xdr:cNvPr id="11" name="Retângulo 10">
          <a:extLst>
            <a:ext uri="{FF2B5EF4-FFF2-40B4-BE49-F238E27FC236}">
              <a16:creationId xmlns:a16="http://schemas.microsoft.com/office/drawing/2014/main" id="{00000000-0008-0000-0700-00000B000000}"/>
            </a:ext>
          </a:extLst>
        </xdr:cNvPr>
        <xdr:cNvSpPr/>
      </xdr:nvSpPr>
      <xdr:spPr>
        <a:xfrm>
          <a:off x="5162550" y="1649731"/>
          <a:ext cx="1066801" cy="260984"/>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2350770</xdr:colOff>
      <xdr:row>14</xdr:row>
      <xdr:rowOff>9525</xdr:rowOff>
    </xdr:from>
    <xdr:to>
      <xdr:col>6</xdr:col>
      <xdr:colOff>17146</xdr:colOff>
      <xdr:row>14</xdr:row>
      <xdr:rowOff>182880</xdr:rowOff>
    </xdr:to>
    <xdr:sp macro="" textlink="">
      <xdr:nvSpPr>
        <xdr:cNvPr id="12" name="Retângulo 11">
          <a:extLst>
            <a:ext uri="{FF2B5EF4-FFF2-40B4-BE49-F238E27FC236}">
              <a16:creationId xmlns:a16="http://schemas.microsoft.com/office/drawing/2014/main" id="{00000000-0008-0000-0700-00000C000000}"/>
            </a:ext>
          </a:extLst>
        </xdr:cNvPr>
        <xdr:cNvSpPr/>
      </xdr:nvSpPr>
      <xdr:spPr>
        <a:xfrm>
          <a:off x="5189220" y="2990850"/>
          <a:ext cx="1076326" cy="173355"/>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5</xdr:col>
      <xdr:colOff>20955</xdr:colOff>
      <xdr:row>17</xdr:row>
      <xdr:rowOff>146684</xdr:rowOff>
    </xdr:from>
    <xdr:to>
      <xdr:col>6</xdr:col>
      <xdr:colOff>64771</xdr:colOff>
      <xdr:row>24</xdr:row>
      <xdr:rowOff>60959</xdr:rowOff>
    </xdr:to>
    <xdr:sp macro="" textlink="">
      <xdr:nvSpPr>
        <xdr:cNvPr id="13" name="Retângulo 12">
          <a:extLst>
            <a:ext uri="{FF2B5EF4-FFF2-40B4-BE49-F238E27FC236}">
              <a16:creationId xmlns:a16="http://schemas.microsoft.com/office/drawing/2014/main" id="{00000000-0008-0000-0700-00000D000000}"/>
            </a:ext>
          </a:extLst>
        </xdr:cNvPr>
        <xdr:cNvSpPr/>
      </xdr:nvSpPr>
      <xdr:spPr>
        <a:xfrm>
          <a:off x="5250180" y="3870959"/>
          <a:ext cx="1062991" cy="121920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2379345</xdr:colOff>
      <xdr:row>33</xdr:row>
      <xdr:rowOff>1904</xdr:rowOff>
    </xdr:from>
    <xdr:to>
      <xdr:col>6</xdr:col>
      <xdr:colOff>28576</xdr:colOff>
      <xdr:row>49</xdr:row>
      <xdr:rowOff>173355</xdr:rowOff>
    </xdr:to>
    <xdr:sp macro="" textlink="">
      <xdr:nvSpPr>
        <xdr:cNvPr id="14" name="Retângulo 13">
          <a:extLst>
            <a:ext uri="{FF2B5EF4-FFF2-40B4-BE49-F238E27FC236}">
              <a16:creationId xmlns:a16="http://schemas.microsoft.com/office/drawing/2014/main" id="{00000000-0008-0000-0700-00000E000000}"/>
            </a:ext>
          </a:extLst>
        </xdr:cNvPr>
        <xdr:cNvSpPr/>
      </xdr:nvSpPr>
      <xdr:spPr>
        <a:xfrm>
          <a:off x="5217795" y="6678929"/>
          <a:ext cx="1059181" cy="3219451"/>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2362200</xdr:colOff>
      <xdr:row>52</xdr:row>
      <xdr:rowOff>142874</xdr:rowOff>
    </xdr:from>
    <xdr:to>
      <xdr:col>6</xdr:col>
      <xdr:colOff>26671</xdr:colOff>
      <xdr:row>57</xdr:row>
      <xdr:rowOff>7620</xdr:rowOff>
    </xdr:to>
    <xdr:sp macro="" textlink="">
      <xdr:nvSpPr>
        <xdr:cNvPr id="15" name="Retângulo 14">
          <a:extLst>
            <a:ext uri="{FF2B5EF4-FFF2-40B4-BE49-F238E27FC236}">
              <a16:creationId xmlns:a16="http://schemas.microsoft.com/office/drawing/2014/main" id="{00000000-0008-0000-0700-00000F000000}"/>
            </a:ext>
          </a:extLst>
        </xdr:cNvPr>
        <xdr:cNvSpPr/>
      </xdr:nvSpPr>
      <xdr:spPr>
        <a:xfrm>
          <a:off x="5200650" y="10782299"/>
          <a:ext cx="1074421" cy="788671"/>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2369820</xdr:colOff>
      <xdr:row>64</xdr:row>
      <xdr:rowOff>144779</xdr:rowOff>
    </xdr:from>
    <xdr:to>
      <xdr:col>6</xdr:col>
      <xdr:colOff>40006</xdr:colOff>
      <xdr:row>68</xdr:row>
      <xdr:rowOff>62865</xdr:rowOff>
    </xdr:to>
    <xdr:sp macro="" textlink="">
      <xdr:nvSpPr>
        <xdr:cNvPr id="16" name="Retângulo 15">
          <a:extLst>
            <a:ext uri="{FF2B5EF4-FFF2-40B4-BE49-F238E27FC236}">
              <a16:creationId xmlns:a16="http://schemas.microsoft.com/office/drawing/2014/main" id="{00000000-0008-0000-0700-000010000000}"/>
            </a:ext>
          </a:extLst>
        </xdr:cNvPr>
        <xdr:cNvSpPr/>
      </xdr:nvSpPr>
      <xdr:spPr>
        <a:xfrm>
          <a:off x="5208270" y="13165454"/>
          <a:ext cx="1080136" cy="737236"/>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2373630</xdr:colOff>
      <xdr:row>94</xdr:row>
      <xdr:rowOff>121920</xdr:rowOff>
    </xdr:from>
    <xdr:to>
      <xdr:col>6</xdr:col>
      <xdr:colOff>15240</xdr:colOff>
      <xdr:row>101</xdr:row>
      <xdr:rowOff>186690</xdr:rowOff>
    </xdr:to>
    <xdr:sp macro="" textlink="">
      <xdr:nvSpPr>
        <xdr:cNvPr id="17" name="Retângulo 16">
          <a:extLst>
            <a:ext uri="{FF2B5EF4-FFF2-40B4-BE49-F238E27FC236}">
              <a16:creationId xmlns:a16="http://schemas.microsoft.com/office/drawing/2014/main" id="{00000000-0008-0000-0700-000011000000}"/>
            </a:ext>
          </a:extLst>
        </xdr:cNvPr>
        <xdr:cNvSpPr/>
      </xdr:nvSpPr>
      <xdr:spPr>
        <a:xfrm>
          <a:off x="5212080" y="19924395"/>
          <a:ext cx="1051560" cy="172212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2377441</xdr:colOff>
      <xdr:row>103</xdr:row>
      <xdr:rowOff>114299</xdr:rowOff>
    </xdr:from>
    <xdr:to>
      <xdr:col>6</xdr:col>
      <xdr:colOff>28576</xdr:colOff>
      <xdr:row>105</xdr:row>
      <xdr:rowOff>53340</xdr:rowOff>
    </xdr:to>
    <xdr:sp macro="" textlink="">
      <xdr:nvSpPr>
        <xdr:cNvPr id="18" name="Retângulo 17">
          <a:extLst>
            <a:ext uri="{FF2B5EF4-FFF2-40B4-BE49-F238E27FC236}">
              <a16:creationId xmlns:a16="http://schemas.microsoft.com/office/drawing/2014/main" id="{00000000-0008-0000-0700-000012000000}"/>
            </a:ext>
          </a:extLst>
        </xdr:cNvPr>
        <xdr:cNvSpPr/>
      </xdr:nvSpPr>
      <xdr:spPr>
        <a:xfrm>
          <a:off x="5215891" y="21926549"/>
          <a:ext cx="1061085" cy="320041"/>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0</xdr:colOff>
      <xdr:row>20</xdr:row>
      <xdr:rowOff>9524</xdr:rowOff>
    </xdr:from>
    <xdr:to>
      <xdr:col>7</xdr:col>
      <xdr:colOff>0</xdr:colOff>
      <xdr:row>26</xdr:row>
      <xdr:rowOff>161924</xdr:rowOff>
    </xdr:to>
    <xdr:sp macro="" textlink="">
      <xdr:nvSpPr>
        <xdr:cNvPr id="2" name="Retângulo 1">
          <a:extLst>
            <a:ext uri="{FF2B5EF4-FFF2-40B4-BE49-F238E27FC236}">
              <a16:creationId xmlns:a16="http://schemas.microsoft.com/office/drawing/2014/main" id="{00000000-0008-0000-1200-000002000000}"/>
            </a:ext>
          </a:extLst>
        </xdr:cNvPr>
        <xdr:cNvSpPr/>
      </xdr:nvSpPr>
      <xdr:spPr>
        <a:xfrm>
          <a:off x="1733550" y="3838574"/>
          <a:ext cx="3457575" cy="1295400"/>
        </a:xfrm>
        <a:prstGeom prst="rect">
          <a:avLst/>
        </a:prstGeom>
        <a:solidFill>
          <a:srgbClr val="FF0000">
            <a:alpha val="35000"/>
          </a:srgbClr>
        </a:solid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1421130</xdr:colOff>
      <xdr:row>3</xdr:row>
      <xdr:rowOff>161926</xdr:rowOff>
    </xdr:from>
    <xdr:to>
      <xdr:col>4</xdr:col>
      <xdr:colOff>15240</xdr:colOff>
      <xdr:row>5</xdr:row>
      <xdr:rowOff>15241</xdr:rowOff>
    </xdr:to>
    <xdr:sp macro="" textlink="">
      <xdr:nvSpPr>
        <xdr:cNvPr id="5" name="Retângulo 4">
          <a:extLst>
            <a:ext uri="{FF2B5EF4-FFF2-40B4-BE49-F238E27FC236}">
              <a16:creationId xmlns:a16="http://schemas.microsoft.com/office/drawing/2014/main" id="{00000000-0008-0000-1200-000005000000}"/>
            </a:ext>
          </a:extLst>
        </xdr:cNvPr>
        <xdr:cNvSpPr/>
      </xdr:nvSpPr>
      <xdr:spPr>
        <a:xfrm>
          <a:off x="1764030" y="714376"/>
          <a:ext cx="1299210" cy="224790"/>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3</xdr:col>
      <xdr:colOff>1219200</xdr:colOff>
      <xdr:row>8</xdr:row>
      <xdr:rowOff>154305</xdr:rowOff>
    </xdr:from>
    <xdr:to>
      <xdr:col>6</xdr:col>
      <xdr:colOff>40006</xdr:colOff>
      <xdr:row>16</xdr:row>
      <xdr:rowOff>26670</xdr:rowOff>
    </xdr:to>
    <xdr:sp macro="" textlink="">
      <xdr:nvSpPr>
        <xdr:cNvPr id="7" name="Retângulo 6">
          <a:extLst>
            <a:ext uri="{FF2B5EF4-FFF2-40B4-BE49-F238E27FC236}">
              <a16:creationId xmlns:a16="http://schemas.microsoft.com/office/drawing/2014/main" id="{00000000-0008-0000-1200-000007000000}"/>
            </a:ext>
          </a:extLst>
        </xdr:cNvPr>
        <xdr:cNvSpPr/>
      </xdr:nvSpPr>
      <xdr:spPr>
        <a:xfrm>
          <a:off x="3000375" y="1621155"/>
          <a:ext cx="1325881" cy="1358265"/>
        </a:xfrm>
        <a:prstGeom prst="rect">
          <a:avLst/>
        </a:prstGeom>
        <a:noFill/>
        <a:ln>
          <a:solidFill>
            <a:srgbClr val="FFC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8.xml"/><Relationship Id="rId1" Type="http://schemas.openxmlformats.org/officeDocument/2006/relationships/printerSettings" Target="../printerSettings/printerSettings32.bin"/><Relationship Id="rId4" Type="http://schemas.openxmlformats.org/officeDocument/2006/relationships/ctrlProp" Target="../ctrlProps/ctrlProp1.xml"/></Relationships>
</file>

<file path=xl/worksheets/_rels/sheet33.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18" Type="http://schemas.openxmlformats.org/officeDocument/2006/relationships/ctrlProp" Target="../ctrlProps/ctrlProp16.xml"/><Relationship Id="rId3" Type="http://schemas.openxmlformats.org/officeDocument/2006/relationships/vmlDrawing" Target="../drawings/vmlDrawing2.v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 Type="http://schemas.openxmlformats.org/officeDocument/2006/relationships/drawing" Target="../drawings/drawing19.xml"/><Relationship Id="rId16" Type="http://schemas.openxmlformats.org/officeDocument/2006/relationships/ctrlProp" Target="../ctrlProps/ctrlProp14.xml"/><Relationship Id="rId20" Type="http://schemas.openxmlformats.org/officeDocument/2006/relationships/ctrlProp" Target="../ctrlProps/ctrlProp18.xml"/><Relationship Id="rId1" Type="http://schemas.openxmlformats.org/officeDocument/2006/relationships/printerSettings" Target="../printerSettings/printerSettings33.bin"/><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19" Type="http://schemas.openxmlformats.org/officeDocument/2006/relationships/ctrlProp" Target="../ctrlProps/ctrlProp17.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0.xml"/><Relationship Id="rId1" Type="http://schemas.openxmlformats.org/officeDocument/2006/relationships/printerSettings" Target="../printerSettings/printerSettings34.bin"/><Relationship Id="rId4" Type="http://schemas.openxmlformats.org/officeDocument/2006/relationships/ctrlProp" Target="../ctrlProps/ctrlProp19.xm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
    <tabColor rgb="FFFF0000"/>
  </sheetPr>
  <dimension ref="A1:X40"/>
  <sheetViews>
    <sheetView showGridLines="0" topLeftCell="A13" zoomScaleNormal="100" workbookViewId="0">
      <selection activeCell="H19" sqref="H19"/>
    </sheetView>
  </sheetViews>
  <sheetFormatPr defaultColWidth="11.42578125" defaultRowHeight="12.75" x14ac:dyDescent="0.2"/>
  <cols>
    <col min="1" max="1" width="21.42578125" style="3" customWidth="1"/>
    <col min="2" max="2" width="2.42578125" style="3" customWidth="1"/>
    <col min="3" max="3" width="11.42578125" style="3" customWidth="1"/>
    <col min="4" max="4" width="1.140625" style="3" customWidth="1"/>
    <col min="5" max="16384" width="11.42578125" style="3"/>
  </cols>
  <sheetData>
    <row r="1" spans="1:24" x14ac:dyDescent="0.2">
      <c r="A1" s="534" t="s">
        <v>220</v>
      </c>
      <c r="B1" s="534"/>
      <c r="C1" s="534"/>
      <c r="D1" s="534"/>
      <c r="E1" s="534"/>
      <c r="F1" s="534"/>
      <c r="G1" s="534"/>
      <c r="H1" s="534"/>
      <c r="I1" s="534"/>
      <c r="J1" s="534"/>
      <c r="K1" s="534"/>
      <c r="L1" s="534"/>
      <c r="M1" s="526"/>
      <c r="N1" s="526"/>
      <c r="O1" s="526"/>
      <c r="P1" s="526"/>
      <c r="Q1" s="526"/>
      <c r="R1" s="526"/>
      <c r="S1" s="526"/>
      <c r="T1" s="526"/>
      <c r="U1" s="526"/>
      <c r="V1" s="526"/>
      <c r="W1" s="526"/>
      <c r="X1" s="526"/>
    </row>
    <row r="2" spans="1:24" x14ac:dyDescent="0.2">
      <c r="A2" s="526"/>
      <c r="B2" s="526"/>
      <c r="C2" s="526"/>
      <c r="D2" s="526"/>
      <c r="E2" s="526"/>
      <c r="F2" s="526"/>
      <c r="G2" s="526"/>
      <c r="H2" s="526"/>
      <c r="I2" s="526"/>
      <c r="J2" s="526"/>
      <c r="K2" s="526"/>
      <c r="L2" s="526"/>
      <c r="M2" s="526"/>
      <c r="N2" s="526"/>
      <c r="O2" s="526"/>
      <c r="P2" s="526"/>
      <c r="Q2" s="526"/>
      <c r="R2" s="526"/>
      <c r="S2" s="526"/>
      <c r="T2" s="526"/>
      <c r="U2" s="526"/>
      <c r="V2" s="526"/>
      <c r="W2" s="526"/>
      <c r="X2" s="526"/>
    </row>
    <row r="3" spans="1:24" s="528" customFormat="1" x14ac:dyDescent="0.2">
      <c r="A3" s="527" t="s">
        <v>908</v>
      </c>
      <c r="B3" s="527"/>
      <c r="C3" s="527"/>
      <c r="D3" s="527"/>
      <c r="E3" s="527"/>
      <c r="F3" s="527"/>
      <c r="G3" s="527"/>
      <c r="H3" s="527"/>
      <c r="I3" s="527"/>
      <c r="J3" s="527"/>
      <c r="K3" s="527"/>
      <c r="L3" s="527"/>
      <c r="M3" s="527"/>
      <c r="N3" s="527"/>
      <c r="O3" s="527"/>
      <c r="P3" s="527"/>
      <c r="Q3" s="527"/>
      <c r="R3" s="527"/>
      <c r="S3" s="527"/>
      <c r="T3" s="527"/>
      <c r="U3" s="527"/>
      <c r="V3" s="527"/>
      <c r="W3" s="527"/>
      <c r="X3" s="527"/>
    </row>
    <row r="4" spans="1:24" s="528" customFormat="1" x14ac:dyDescent="0.2">
      <c r="A4" s="527" t="s">
        <v>907</v>
      </c>
      <c r="B4" s="527"/>
      <c r="C4" s="527"/>
      <c r="D4" s="527"/>
      <c r="E4" s="527"/>
      <c r="F4" s="527"/>
      <c r="G4" s="527"/>
      <c r="H4" s="527"/>
      <c r="I4" s="527"/>
      <c r="J4" s="527"/>
      <c r="K4" s="527"/>
      <c r="L4" s="527"/>
      <c r="M4" s="527"/>
      <c r="N4" s="527"/>
      <c r="O4" s="527"/>
      <c r="P4" s="527"/>
      <c r="Q4" s="527"/>
      <c r="R4" s="527"/>
      <c r="S4" s="527"/>
      <c r="T4" s="527"/>
      <c r="U4" s="527"/>
      <c r="V4" s="527"/>
      <c r="W4" s="527"/>
      <c r="X4" s="527"/>
    </row>
    <row r="5" spans="1:24" s="528" customFormat="1" x14ac:dyDescent="0.2">
      <c r="A5" s="527" t="s">
        <v>881</v>
      </c>
      <c r="B5" s="527"/>
      <c r="C5" s="527"/>
      <c r="D5" s="527"/>
      <c r="E5" s="527"/>
      <c r="F5" s="527"/>
      <c r="G5" s="527"/>
      <c r="H5" s="527"/>
      <c r="I5" s="527"/>
      <c r="J5" s="527"/>
      <c r="K5" s="527"/>
      <c r="L5" s="527"/>
      <c r="M5" s="527"/>
      <c r="N5" s="527"/>
      <c r="O5" s="527"/>
      <c r="P5" s="527"/>
      <c r="Q5" s="527"/>
      <c r="R5" s="527"/>
      <c r="S5" s="527"/>
      <c r="T5" s="527"/>
      <c r="U5" s="527"/>
      <c r="V5" s="527"/>
      <c r="W5" s="527"/>
      <c r="X5" s="527"/>
    </row>
    <row r="6" spans="1:24" s="528" customFormat="1" x14ac:dyDescent="0.2">
      <c r="A6" s="527" t="s">
        <v>882</v>
      </c>
      <c r="B6" s="527"/>
      <c r="C6" s="529"/>
      <c r="D6" s="527"/>
      <c r="E6" s="527" t="s">
        <v>221</v>
      </c>
      <c r="F6" s="527"/>
      <c r="G6" s="527"/>
      <c r="H6" s="527"/>
      <c r="I6" s="527"/>
      <c r="J6" s="527"/>
      <c r="K6" s="527"/>
      <c r="L6" s="527"/>
      <c r="M6" s="527"/>
      <c r="N6" s="527"/>
      <c r="O6" s="527"/>
      <c r="P6" s="527"/>
      <c r="Q6" s="527"/>
      <c r="R6" s="527"/>
      <c r="S6" s="527"/>
      <c r="T6" s="527"/>
      <c r="U6" s="527"/>
      <c r="V6" s="527"/>
      <c r="W6" s="527"/>
      <c r="X6" s="527"/>
    </row>
    <row r="7" spans="1:24" s="528" customFormat="1" x14ac:dyDescent="0.2">
      <c r="A7" s="527" t="s">
        <v>883</v>
      </c>
      <c r="B7" s="527"/>
      <c r="C7" s="530"/>
      <c r="D7" s="527"/>
      <c r="E7" s="527" t="s">
        <v>906</v>
      </c>
      <c r="F7" s="527"/>
      <c r="G7" s="527"/>
      <c r="H7" s="527"/>
      <c r="I7" s="527"/>
      <c r="J7" s="527"/>
      <c r="K7" s="527"/>
      <c r="L7" s="527"/>
      <c r="M7" s="527"/>
      <c r="N7" s="527"/>
      <c r="O7" s="527"/>
      <c r="P7" s="527"/>
      <c r="Q7" s="527"/>
      <c r="R7" s="527"/>
      <c r="S7" s="527"/>
      <c r="T7" s="527"/>
      <c r="U7" s="527"/>
      <c r="V7" s="527"/>
      <c r="W7" s="527"/>
      <c r="X7" s="527"/>
    </row>
    <row r="8" spans="1:24" s="528" customFormat="1" x14ac:dyDescent="0.2">
      <c r="A8" s="527" t="s">
        <v>884</v>
      </c>
      <c r="B8" s="527"/>
      <c r="C8" s="531"/>
      <c r="D8" s="527"/>
      <c r="E8" s="527" t="s">
        <v>222</v>
      </c>
      <c r="F8" s="527"/>
      <c r="G8" s="527"/>
      <c r="H8" s="527"/>
      <c r="I8" s="527"/>
      <c r="J8" s="527"/>
      <c r="K8" s="527"/>
      <c r="L8" s="527"/>
      <c r="M8" s="527"/>
      <c r="N8" s="527"/>
      <c r="O8" s="527"/>
      <c r="P8" s="527"/>
      <c r="Q8" s="527"/>
      <c r="R8" s="527"/>
      <c r="S8" s="527"/>
      <c r="T8" s="527"/>
      <c r="U8" s="527"/>
      <c r="V8" s="527"/>
      <c r="W8" s="527"/>
      <c r="X8" s="527"/>
    </row>
    <row r="9" spans="1:24" x14ac:dyDescent="0.2">
      <c r="A9" s="526"/>
      <c r="B9" s="526"/>
      <c r="C9" s="526"/>
      <c r="D9" s="526"/>
      <c r="E9" s="526"/>
      <c r="F9" s="526"/>
      <c r="G9" s="526"/>
      <c r="H9" s="526"/>
      <c r="I9" s="526"/>
      <c r="J9" s="526"/>
      <c r="K9" s="526"/>
      <c r="L9" s="526"/>
      <c r="M9" s="526"/>
      <c r="N9" s="526"/>
      <c r="O9" s="526"/>
      <c r="P9" s="526"/>
      <c r="Q9" s="526"/>
      <c r="R9" s="526"/>
      <c r="S9" s="526"/>
      <c r="T9" s="526"/>
      <c r="U9" s="526"/>
      <c r="V9" s="526"/>
      <c r="W9" s="526"/>
      <c r="X9" s="526"/>
    </row>
    <row r="10" spans="1:24" x14ac:dyDescent="0.2">
      <c r="A10" s="532" t="s">
        <v>885</v>
      </c>
      <c r="B10" s="526"/>
      <c r="C10" s="526"/>
      <c r="D10" s="526"/>
      <c r="E10" s="526"/>
      <c r="F10" s="526"/>
      <c r="G10" s="526"/>
      <c r="H10" s="526"/>
      <c r="I10" s="526"/>
      <c r="J10" s="526"/>
      <c r="K10" s="526"/>
      <c r="L10" s="526"/>
      <c r="M10" s="526"/>
      <c r="N10" s="526"/>
      <c r="O10" s="526"/>
      <c r="P10" s="526"/>
      <c r="Q10" s="526"/>
      <c r="R10" s="526"/>
      <c r="S10" s="526"/>
      <c r="T10" s="526"/>
      <c r="U10" s="526"/>
      <c r="V10" s="526"/>
      <c r="W10" s="526"/>
      <c r="X10" s="526"/>
    </row>
    <row r="11" spans="1:24" x14ac:dyDescent="0.2">
      <c r="A11" s="526" t="s">
        <v>886</v>
      </c>
      <c r="B11" s="526"/>
      <c r="C11" s="526"/>
      <c r="D11" s="526"/>
      <c r="E11" s="526"/>
      <c r="F11" s="526"/>
      <c r="G11" s="526"/>
      <c r="H11" s="526"/>
      <c r="I11" s="526"/>
      <c r="J11" s="526"/>
      <c r="K11" s="526"/>
      <c r="L11" s="526"/>
      <c r="M11" s="526"/>
      <c r="N11" s="526"/>
      <c r="O11" s="526"/>
      <c r="P11" s="526"/>
      <c r="Q11" s="526"/>
      <c r="R11" s="526"/>
      <c r="S11" s="526"/>
      <c r="T11" s="526"/>
      <c r="U11" s="526"/>
      <c r="V11" s="526"/>
      <c r="W11" s="526"/>
      <c r="X11" s="526"/>
    </row>
    <row r="12" spans="1:24" x14ac:dyDescent="0.2">
      <c r="A12" s="526" t="s">
        <v>887</v>
      </c>
      <c r="B12" s="526"/>
      <c r="C12" s="526"/>
      <c r="D12" s="526"/>
      <c r="E12" s="526"/>
      <c r="F12" s="526"/>
      <c r="G12" s="526"/>
      <c r="H12" s="526"/>
      <c r="I12" s="526"/>
      <c r="J12" s="526"/>
      <c r="K12" s="526"/>
      <c r="L12" s="526"/>
      <c r="M12" s="526"/>
      <c r="N12" s="526"/>
      <c r="O12" s="526"/>
      <c r="P12" s="526"/>
      <c r="Q12" s="526"/>
      <c r="R12" s="526"/>
      <c r="S12" s="526"/>
      <c r="T12" s="526"/>
      <c r="U12" s="526"/>
      <c r="V12" s="526"/>
      <c r="W12" s="526"/>
      <c r="X12" s="526"/>
    </row>
    <row r="13" spans="1:24" x14ac:dyDescent="0.2">
      <c r="A13" s="526" t="s">
        <v>888</v>
      </c>
      <c r="B13" s="526"/>
      <c r="C13" s="526"/>
      <c r="D13" s="526"/>
      <c r="E13" s="526"/>
      <c r="F13" s="526"/>
      <c r="G13" s="526"/>
      <c r="H13" s="526"/>
      <c r="I13" s="526"/>
      <c r="J13" s="526"/>
      <c r="K13" s="526"/>
      <c r="L13" s="526"/>
      <c r="M13" s="526"/>
      <c r="N13" s="526"/>
      <c r="O13" s="526"/>
      <c r="P13" s="526"/>
      <c r="Q13" s="526"/>
      <c r="R13" s="526"/>
      <c r="S13" s="526"/>
      <c r="T13" s="526"/>
      <c r="U13" s="526"/>
      <c r="V13" s="526"/>
      <c r="W13" s="526"/>
      <c r="X13" s="526"/>
    </row>
    <row r="14" spans="1:24" x14ac:dyDescent="0.2">
      <c r="A14" s="526" t="s">
        <v>889</v>
      </c>
      <c r="B14" s="526"/>
      <c r="C14" s="526"/>
      <c r="D14" s="526"/>
      <c r="E14" s="526"/>
      <c r="F14" s="526"/>
      <c r="G14" s="526"/>
      <c r="H14" s="526"/>
      <c r="I14" s="526"/>
      <c r="J14" s="526"/>
      <c r="K14" s="526"/>
      <c r="L14" s="526"/>
      <c r="M14" s="526"/>
      <c r="N14" s="526"/>
      <c r="O14" s="526"/>
      <c r="P14" s="526"/>
      <c r="Q14" s="526"/>
      <c r="R14" s="526"/>
      <c r="S14" s="526"/>
      <c r="T14" s="526"/>
      <c r="U14" s="526"/>
      <c r="V14" s="526"/>
      <c r="W14" s="526"/>
      <c r="X14" s="526"/>
    </row>
    <row r="15" spans="1:24" x14ac:dyDescent="0.2">
      <c r="A15" s="526"/>
      <c r="B15" s="526"/>
      <c r="C15" s="526"/>
      <c r="D15" s="526"/>
      <c r="E15" s="526"/>
      <c r="F15" s="526"/>
      <c r="G15" s="526"/>
      <c r="H15" s="526"/>
      <c r="I15" s="526"/>
      <c r="J15" s="526"/>
      <c r="K15" s="526"/>
      <c r="L15" s="526"/>
      <c r="M15" s="526"/>
      <c r="N15" s="526"/>
      <c r="O15" s="526"/>
      <c r="P15" s="526"/>
      <c r="Q15" s="526"/>
      <c r="R15" s="526"/>
      <c r="S15" s="526"/>
      <c r="T15" s="526"/>
      <c r="U15" s="526"/>
      <c r="V15" s="526"/>
      <c r="W15" s="526"/>
      <c r="X15" s="526"/>
    </row>
    <row r="16" spans="1:24" x14ac:dyDescent="0.2">
      <c r="A16" s="526"/>
      <c r="B16" s="526"/>
      <c r="C16" s="526"/>
      <c r="D16" s="526"/>
      <c r="E16" s="526"/>
      <c r="F16" s="526"/>
      <c r="G16" s="526"/>
      <c r="H16" s="526"/>
      <c r="I16" s="526"/>
      <c r="J16" s="526"/>
      <c r="K16" s="526"/>
      <c r="L16" s="526"/>
      <c r="M16" s="526"/>
      <c r="N16" s="526"/>
      <c r="O16" s="526"/>
      <c r="P16" s="526"/>
      <c r="Q16" s="526"/>
      <c r="R16" s="526"/>
      <c r="S16" s="526"/>
      <c r="T16" s="526"/>
      <c r="U16" s="526"/>
      <c r="V16" s="526"/>
      <c r="W16" s="526"/>
      <c r="X16" s="526"/>
    </row>
    <row r="17" spans="1:24" x14ac:dyDescent="0.2">
      <c r="A17" s="533" t="s">
        <v>890</v>
      </c>
      <c r="B17" s="526"/>
      <c r="C17" s="526"/>
      <c r="D17" s="526"/>
      <c r="E17" s="526"/>
      <c r="F17" s="526"/>
      <c r="G17" s="526"/>
      <c r="H17" s="526"/>
      <c r="I17" s="526"/>
      <c r="J17" s="526"/>
      <c r="K17" s="526"/>
      <c r="L17" s="526"/>
      <c r="M17" s="526"/>
      <c r="N17" s="526"/>
      <c r="O17" s="526"/>
      <c r="P17" s="526"/>
      <c r="Q17" s="526"/>
      <c r="R17" s="526"/>
      <c r="S17" s="526"/>
      <c r="T17" s="526"/>
      <c r="U17" s="526"/>
      <c r="V17" s="526"/>
      <c r="W17" s="526"/>
      <c r="X17" s="526"/>
    </row>
    <row r="18" spans="1:24" x14ac:dyDescent="0.2">
      <c r="A18" s="526"/>
      <c r="B18" s="526"/>
      <c r="C18" s="526"/>
      <c r="D18" s="526"/>
      <c r="E18" s="526"/>
      <c r="F18" s="526"/>
      <c r="G18" s="526"/>
      <c r="H18" s="526"/>
      <c r="I18" s="526"/>
      <c r="J18" s="526"/>
      <c r="K18" s="526"/>
      <c r="L18" s="526"/>
      <c r="M18" s="526"/>
      <c r="N18" s="526"/>
      <c r="O18" s="526"/>
      <c r="P18" s="526"/>
      <c r="Q18" s="526"/>
      <c r="R18" s="526"/>
      <c r="S18" s="526"/>
      <c r="T18" s="526"/>
      <c r="U18" s="526"/>
      <c r="V18" s="526"/>
      <c r="W18" s="526"/>
      <c r="X18" s="526"/>
    </row>
    <row r="19" spans="1:24" x14ac:dyDescent="0.2">
      <c r="A19" s="526"/>
      <c r="B19" s="526"/>
      <c r="C19" s="526"/>
      <c r="D19" s="526"/>
      <c r="E19" s="526"/>
      <c r="F19" s="526"/>
      <c r="G19" s="526"/>
      <c r="H19" s="526"/>
      <c r="I19" s="526"/>
      <c r="J19" s="526"/>
      <c r="K19" s="526"/>
      <c r="L19" s="526"/>
      <c r="M19" s="526"/>
      <c r="N19" s="526"/>
      <c r="O19" s="526"/>
      <c r="P19" s="526"/>
      <c r="Q19" s="526"/>
      <c r="R19" s="526"/>
      <c r="S19" s="526"/>
      <c r="T19" s="526"/>
      <c r="U19" s="526"/>
      <c r="V19" s="526"/>
      <c r="W19" s="526"/>
      <c r="X19" s="526"/>
    </row>
    <row r="20" spans="1:24" x14ac:dyDescent="0.2">
      <c r="A20" s="532" t="s">
        <v>943</v>
      </c>
      <c r="B20" s="526"/>
      <c r="C20" s="526"/>
      <c r="D20" s="526"/>
      <c r="E20" s="526"/>
      <c r="F20" s="526"/>
      <c r="G20" s="526"/>
      <c r="H20" s="526"/>
      <c r="I20" s="526"/>
      <c r="J20" s="526"/>
      <c r="K20" s="526"/>
      <c r="L20" s="526"/>
      <c r="M20" s="526"/>
      <c r="N20" s="526"/>
      <c r="O20" s="526"/>
      <c r="P20" s="526"/>
      <c r="Q20" s="526"/>
      <c r="R20" s="526"/>
      <c r="S20" s="526"/>
      <c r="T20" s="526"/>
      <c r="U20" s="526"/>
      <c r="V20" s="526"/>
      <c r="W20" s="526"/>
      <c r="X20" s="526"/>
    </row>
    <row r="21" spans="1:24" ht="12" customHeight="1" x14ac:dyDescent="0.2">
      <c r="A21" s="526"/>
      <c r="B21" s="526"/>
      <c r="C21" s="526"/>
      <c r="D21" s="526"/>
      <c r="E21" s="526"/>
      <c r="F21" s="526"/>
      <c r="G21" s="526"/>
      <c r="H21" s="526"/>
      <c r="I21" s="526"/>
      <c r="J21" s="526"/>
      <c r="K21" s="526"/>
      <c r="L21" s="526"/>
      <c r="M21" s="526"/>
      <c r="N21" s="526"/>
      <c r="O21" s="526"/>
      <c r="P21" s="526"/>
      <c r="Q21" s="526"/>
      <c r="R21" s="526"/>
      <c r="S21" s="526"/>
      <c r="T21" s="526"/>
      <c r="U21" s="526"/>
      <c r="V21" s="526"/>
      <c r="W21" s="526"/>
      <c r="X21" s="526"/>
    </row>
    <row r="22" spans="1:24" x14ac:dyDescent="0.2">
      <c r="A22" s="526" t="s">
        <v>944</v>
      </c>
      <c r="B22" s="526"/>
      <c r="C22" s="526"/>
      <c r="D22" s="526"/>
      <c r="E22" s="526"/>
      <c r="F22" s="526"/>
      <c r="G22" s="526"/>
      <c r="H22" s="526"/>
      <c r="I22" s="526"/>
      <c r="J22" s="526"/>
      <c r="K22" s="526"/>
      <c r="L22" s="526"/>
      <c r="M22" s="526"/>
      <c r="N22" s="526"/>
      <c r="O22" s="526"/>
      <c r="P22" s="526"/>
      <c r="Q22" s="526"/>
      <c r="R22" s="526"/>
      <c r="S22" s="526"/>
      <c r="T22" s="526"/>
      <c r="U22" s="526"/>
      <c r="V22" s="526"/>
      <c r="W22" s="526"/>
      <c r="X22" s="526"/>
    </row>
    <row r="23" spans="1:24" x14ac:dyDescent="0.2">
      <c r="A23" s="526" t="s">
        <v>958</v>
      </c>
      <c r="B23" s="526"/>
      <c r="C23" s="526"/>
      <c r="D23" s="526"/>
      <c r="E23" s="526"/>
      <c r="F23" s="526"/>
      <c r="G23" s="526"/>
      <c r="H23" s="526"/>
      <c r="I23" s="526"/>
      <c r="J23" s="526"/>
      <c r="K23" s="526"/>
      <c r="L23" s="526"/>
      <c r="M23" s="526"/>
      <c r="N23" s="526"/>
      <c r="O23" s="526"/>
      <c r="P23" s="526"/>
      <c r="Q23" s="526"/>
      <c r="R23" s="526"/>
      <c r="S23" s="526"/>
      <c r="T23" s="526"/>
      <c r="U23" s="526"/>
      <c r="V23" s="526"/>
      <c r="W23" s="526"/>
      <c r="X23" s="526"/>
    </row>
    <row r="24" spans="1:24" x14ac:dyDescent="0.2">
      <c r="A24" s="526" t="s">
        <v>957</v>
      </c>
      <c r="B24" s="526"/>
      <c r="C24" s="526"/>
      <c r="D24" s="526"/>
      <c r="E24" s="526"/>
      <c r="F24" s="526"/>
      <c r="G24" s="526"/>
      <c r="H24" s="526"/>
      <c r="I24" s="526"/>
      <c r="J24" s="526"/>
      <c r="K24" s="526"/>
      <c r="L24" s="526"/>
      <c r="M24" s="526"/>
      <c r="N24" s="526"/>
      <c r="O24" s="526"/>
      <c r="P24" s="526"/>
      <c r="Q24" s="526"/>
      <c r="R24" s="526"/>
      <c r="S24" s="526"/>
      <c r="T24" s="526"/>
      <c r="U24" s="526"/>
      <c r="V24" s="526"/>
      <c r="W24" s="526"/>
      <c r="X24" s="526"/>
    </row>
    <row r="25" spans="1:24" x14ac:dyDescent="0.2">
      <c r="A25" s="526" t="s">
        <v>956</v>
      </c>
      <c r="B25" s="526"/>
      <c r="C25" s="526"/>
      <c r="D25" s="526"/>
      <c r="E25" s="526"/>
      <c r="F25" s="526"/>
      <c r="G25" s="526"/>
      <c r="H25" s="526"/>
      <c r="I25" s="526"/>
      <c r="J25" s="526"/>
      <c r="K25" s="526"/>
      <c r="L25" s="526"/>
      <c r="M25" s="526"/>
      <c r="N25" s="526"/>
      <c r="O25" s="526"/>
      <c r="P25" s="526"/>
      <c r="Q25" s="526"/>
      <c r="R25" s="526"/>
      <c r="S25" s="526"/>
      <c r="T25" s="526"/>
      <c r="U25" s="526"/>
      <c r="V25" s="526"/>
      <c r="W25" s="526"/>
      <c r="X25" s="526"/>
    </row>
    <row r="26" spans="1:24" x14ac:dyDescent="0.2">
      <c r="A26" s="526" t="s">
        <v>945</v>
      </c>
      <c r="B26" s="526"/>
      <c r="C26" s="526"/>
      <c r="D26" s="526"/>
      <c r="E26" s="526"/>
      <c r="F26" s="526"/>
      <c r="G26" s="526"/>
      <c r="H26" s="526"/>
      <c r="I26" s="526"/>
      <c r="J26" s="526"/>
      <c r="K26" s="526"/>
      <c r="L26" s="526"/>
      <c r="M26" s="526"/>
      <c r="N26" s="526"/>
      <c r="O26" s="526"/>
      <c r="P26" s="526"/>
      <c r="Q26" s="526"/>
      <c r="R26" s="526"/>
      <c r="S26" s="526"/>
      <c r="T26" s="526"/>
      <c r="U26" s="526"/>
      <c r="V26" s="526"/>
      <c r="W26" s="526"/>
      <c r="X26" s="526"/>
    </row>
    <row r="27" spans="1:24" x14ac:dyDescent="0.2">
      <c r="A27" s="526" t="s">
        <v>959</v>
      </c>
      <c r="B27" s="526"/>
      <c r="C27" s="526"/>
      <c r="D27" s="526"/>
      <c r="E27" s="526"/>
      <c r="F27" s="526"/>
      <c r="G27" s="526"/>
      <c r="H27" s="526"/>
      <c r="I27" s="526"/>
      <c r="J27" s="526"/>
      <c r="K27" s="526"/>
      <c r="L27" s="526"/>
      <c r="M27" s="526"/>
      <c r="N27" s="526"/>
      <c r="O27" s="526"/>
      <c r="P27" s="526"/>
      <c r="Q27" s="526"/>
      <c r="R27" s="526"/>
      <c r="S27" s="526"/>
      <c r="T27" s="526"/>
      <c r="U27" s="526"/>
      <c r="V27" s="526"/>
      <c r="W27" s="526"/>
      <c r="X27" s="526"/>
    </row>
    <row r="28" spans="1:24" x14ac:dyDescent="0.2">
      <c r="A28" s="526"/>
      <c r="B28" s="526"/>
      <c r="C28" s="526"/>
      <c r="D28" s="526"/>
      <c r="E28" s="526"/>
      <c r="F28" s="526"/>
      <c r="G28" s="526"/>
      <c r="H28" s="526"/>
      <c r="I28" s="526"/>
      <c r="J28" s="526"/>
      <c r="K28" s="526"/>
      <c r="L28" s="526"/>
      <c r="M28" s="526"/>
      <c r="N28" s="526"/>
      <c r="O28" s="526"/>
      <c r="P28" s="526"/>
      <c r="Q28" s="526"/>
      <c r="R28" s="526"/>
      <c r="S28" s="526"/>
      <c r="T28" s="526"/>
      <c r="U28" s="526"/>
      <c r="V28" s="526"/>
      <c r="W28" s="526"/>
      <c r="X28" s="526"/>
    </row>
    <row r="29" spans="1:24" x14ac:dyDescent="0.2">
      <c r="A29" s="526"/>
      <c r="B29" s="526"/>
      <c r="C29" s="526"/>
      <c r="D29" s="526"/>
      <c r="E29" s="526"/>
      <c r="F29" s="526"/>
      <c r="G29" s="526"/>
      <c r="H29" s="526"/>
      <c r="I29" s="526"/>
      <c r="J29" s="526"/>
      <c r="K29" s="526"/>
      <c r="L29" s="526"/>
      <c r="M29" s="526"/>
      <c r="N29" s="526"/>
      <c r="O29" s="526"/>
      <c r="P29" s="526"/>
      <c r="Q29" s="526"/>
      <c r="R29" s="526"/>
      <c r="S29" s="526"/>
      <c r="T29" s="526"/>
      <c r="U29" s="526"/>
      <c r="V29" s="526"/>
      <c r="W29" s="526"/>
      <c r="X29" s="526"/>
    </row>
    <row r="30" spans="1:24" x14ac:dyDescent="0.2">
      <c r="A30" s="526"/>
      <c r="B30" s="526"/>
      <c r="C30" s="526"/>
      <c r="D30" s="526"/>
      <c r="E30" s="526"/>
      <c r="F30" s="526"/>
      <c r="G30" s="526"/>
      <c r="H30" s="526"/>
      <c r="I30" s="526"/>
      <c r="J30" s="526"/>
      <c r="K30" s="526"/>
      <c r="L30" s="526"/>
      <c r="M30" s="526"/>
      <c r="N30" s="526"/>
      <c r="O30" s="526"/>
      <c r="P30" s="526"/>
      <c r="Q30" s="526"/>
      <c r="R30" s="526"/>
      <c r="S30" s="526"/>
      <c r="T30" s="526"/>
      <c r="U30" s="526"/>
      <c r="V30" s="526"/>
      <c r="W30" s="526"/>
      <c r="X30" s="526"/>
    </row>
    <row r="31" spans="1:24" x14ac:dyDescent="0.2">
      <c r="A31" s="526" t="s">
        <v>955</v>
      </c>
      <c r="B31" s="526"/>
      <c r="C31" s="526"/>
      <c r="D31" s="526"/>
      <c r="E31" s="526"/>
      <c r="F31" s="526"/>
      <c r="G31" s="526"/>
      <c r="H31" s="526"/>
      <c r="I31" s="526"/>
      <c r="J31" s="526"/>
      <c r="K31" s="526"/>
      <c r="L31" s="526"/>
      <c r="M31" s="526"/>
      <c r="N31" s="526"/>
      <c r="O31" s="526"/>
      <c r="P31" s="526"/>
      <c r="Q31" s="526"/>
      <c r="R31" s="526"/>
      <c r="S31" s="526"/>
      <c r="T31" s="526"/>
      <c r="U31" s="526"/>
      <c r="V31" s="526"/>
      <c r="W31" s="526"/>
      <c r="X31" s="526"/>
    </row>
    <row r="32" spans="1:24" x14ac:dyDescent="0.2">
      <c r="A32" s="526"/>
      <c r="B32" s="526"/>
      <c r="C32" s="526"/>
      <c r="D32" s="526"/>
      <c r="E32" s="526"/>
      <c r="F32" s="526"/>
      <c r="G32" s="526"/>
      <c r="H32" s="526"/>
      <c r="I32" s="39"/>
      <c r="J32" s="526"/>
      <c r="K32" s="526"/>
      <c r="L32" s="526"/>
      <c r="M32" s="526"/>
      <c r="N32" s="526"/>
      <c r="O32" s="526"/>
      <c r="P32" s="526"/>
      <c r="Q32" s="526"/>
      <c r="R32" s="526"/>
      <c r="S32" s="526"/>
      <c r="T32" s="526"/>
      <c r="U32" s="526"/>
      <c r="V32" s="526"/>
      <c r="W32" s="526"/>
      <c r="X32" s="526"/>
    </row>
    <row r="33" spans="1:24" x14ac:dyDescent="0.2">
      <c r="A33" s="526"/>
      <c r="B33" s="526"/>
      <c r="C33" s="526"/>
      <c r="D33" s="526"/>
      <c r="E33" s="526"/>
      <c r="F33" s="526"/>
      <c r="G33" s="526"/>
      <c r="H33" s="526"/>
      <c r="I33" s="526"/>
      <c r="J33" s="526"/>
      <c r="K33" s="526"/>
      <c r="L33" s="526"/>
      <c r="M33" s="526"/>
      <c r="N33" s="526"/>
      <c r="O33" s="526"/>
      <c r="P33" s="526"/>
      <c r="Q33" s="526"/>
      <c r="R33" s="526"/>
      <c r="S33" s="526"/>
      <c r="T33" s="526"/>
      <c r="U33" s="526"/>
      <c r="V33" s="526"/>
      <c r="W33" s="526"/>
      <c r="X33" s="526"/>
    </row>
    <row r="34" spans="1:24" x14ac:dyDescent="0.2">
      <c r="A34" s="526"/>
      <c r="B34" s="526"/>
      <c r="C34" s="526"/>
      <c r="D34" s="526"/>
      <c r="E34" s="526"/>
      <c r="F34" s="526"/>
      <c r="G34" s="526"/>
      <c r="H34" s="526"/>
      <c r="I34" s="526"/>
      <c r="J34" s="526"/>
      <c r="K34" s="526"/>
      <c r="L34" s="526"/>
      <c r="M34" s="526"/>
      <c r="N34" s="526"/>
      <c r="O34" s="526"/>
      <c r="P34" s="526"/>
      <c r="Q34" s="526"/>
      <c r="R34" s="526"/>
      <c r="S34" s="526"/>
      <c r="T34" s="526"/>
      <c r="U34" s="526"/>
      <c r="V34" s="526"/>
      <c r="W34" s="526"/>
      <c r="X34" s="526"/>
    </row>
    <row r="35" spans="1:24" x14ac:dyDescent="0.2">
      <c r="A35" s="526"/>
      <c r="B35" s="526"/>
      <c r="C35" s="526"/>
      <c r="D35" s="526"/>
      <c r="E35" s="526"/>
      <c r="F35" s="526"/>
      <c r="G35" s="526"/>
      <c r="H35" s="526"/>
      <c r="I35" s="526"/>
      <c r="J35" s="526"/>
      <c r="K35" s="526"/>
      <c r="L35" s="526"/>
      <c r="M35" s="526"/>
      <c r="N35" s="526"/>
      <c r="O35" s="526"/>
      <c r="P35" s="526"/>
      <c r="Q35" s="526"/>
      <c r="R35" s="526"/>
      <c r="S35" s="526"/>
      <c r="T35" s="526"/>
      <c r="U35" s="526"/>
      <c r="V35" s="526"/>
      <c r="W35" s="526"/>
      <c r="X35" s="526"/>
    </row>
    <row r="36" spans="1:24" x14ac:dyDescent="0.2">
      <c r="A36" s="526"/>
      <c r="B36" s="526"/>
      <c r="C36" s="526"/>
      <c r="D36" s="526"/>
      <c r="E36" s="526"/>
      <c r="F36" s="526"/>
      <c r="G36" s="526"/>
      <c r="H36" s="526"/>
      <c r="I36" s="526"/>
      <c r="J36" s="526"/>
      <c r="K36" s="526"/>
      <c r="L36" s="526"/>
      <c r="M36" s="526"/>
      <c r="N36" s="526"/>
      <c r="O36" s="526"/>
      <c r="P36" s="526"/>
      <c r="Q36" s="526"/>
      <c r="R36" s="526"/>
      <c r="S36" s="526"/>
      <c r="T36" s="526"/>
      <c r="U36" s="526"/>
      <c r="V36" s="526"/>
      <c r="W36" s="526"/>
      <c r="X36" s="526"/>
    </row>
    <row r="37" spans="1:24" x14ac:dyDescent="0.2">
      <c r="A37" s="526"/>
      <c r="B37" s="526"/>
      <c r="C37" s="526"/>
      <c r="D37" s="526"/>
      <c r="E37" s="526"/>
      <c r="F37" s="526"/>
      <c r="G37" s="526"/>
      <c r="H37" s="526"/>
      <c r="I37" s="526"/>
      <c r="J37" s="526"/>
      <c r="K37" s="526"/>
      <c r="L37" s="526"/>
      <c r="M37" s="526"/>
      <c r="N37" s="526"/>
      <c r="O37" s="526"/>
      <c r="P37" s="526"/>
      <c r="Q37" s="526"/>
      <c r="R37" s="526"/>
      <c r="S37" s="526"/>
      <c r="T37" s="526"/>
      <c r="U37" s="526"/>
      <c r="V37" s="526"/>
      <c r="W37" s="526"/>
      <c r="X37" s="526"/>
    </row>
    <row r="38" spans="1:24" x14ac:dyDescent="0.2">
      <c r="O38" s="526"/>
      <c r="P38" s="526"/>
      <c r="Q38" s="526"/>
      <c r="R38" s="526"/>
      <c r="S38" s="526"/>
      <c r="T38" s="526"/>
      <c r="U38" s="526"/>
      <c r="V38" s="526"/>
      <c r="W38" s="526"/>
      <c r="X38" s="526"/>
    </row>
    <row r="39" spans="1:24" x14ac:dyDescent="0.2">
      <c r="O39" s="526"/>
      <c r="P39" s="526"/>
      <c r="Q39" s="526"/>
      <c r="R39" s="526"/>
      <c r="S39" s="526"/>
      <c r="T39" s="526"/>
      <c r="U39" s="526"/>
      <c r="V39" s="526"/>
      <c r="W39" s="526"/>
      <c r="X39" s="526"/>
    </row>
    <row r="40" spans="1:24" x14ac:dyDescent="0.2">
      <c r="A40" s="526"/>
      <c r="B40" s="526"/>
      <c r="C40" s="526"/>
      <c r="D40" s="526"/>
      <c r="E40" s="526"/>
      <c r="F40" s="526"/>
      <c r="G40" s="526"/>
      <c r="H40" s="526"/>
      <c r="I40" s="526"/>
      <c r="J40" s="526"/>
      <c r="K40" s="526"/>
      <c r="L40" s="526"/>
      <c r="M40" s="526"/>
      <c r="N40" s="526"/>
      <c r="O40" s="526"/>
      <c r="P40" s="526"/>
      <c r="Q40" s="526"/>
      <c r="R40" s="526"/>
      <c r="S40" s="526"/>
      <c r="T40" s="526"/>
      <c r="U40" s="526"/>
      <c r="V40" s="526"/>
      <c r="W40" s="526"/>
      <c r="X40" s="526"/>
    </row>
  </sheetData>
  <mergeCells count="1">
    <mergeCell ref="A1:L1"/>
  </mergeCells>
  <pageMargins left="0.19685039370078741" right="0.19685039370078741" top="0.59055118110236227" bottom="0.59055118110236227"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0">
    <tabColor theme="4" tint="0.39997558519241921"/>
  </sheetPr>
  <dimension ref="A1:T64"/>
  <sheetViews>
    <sheetView showGridLines="0" workbookViewId="0">
      <selection activeCell="H30" sqref="H30"/>
    </sheetView>
  </sheetViews>
  <sheetFormatPr defaultColWidth="11.42578125" defaultRowHeight="12.75" x14ac:dyDescent="0.2"/>
  <cols>
    <col min="1" max="1" width="5.28515625" style="139" bestFit="1" customWidth="1"/>
    <col min="2" max="2" width="6.140625" style="192" customWidth="1"/>
    <col min="3" max="3" width="3.7109375" style="192" customWidth="1"/>
    <col min="4" max="4" width="7.85546875" style="192" bestFit="1" customWidth="1"/>
    <col min="5" max="5" width="53.7109375" style="192" customWidth="1"/>
    <col min="6" max="6" width="3.28515625" style="193" bestFit="1" customWidth="1"/>
    <col min="7" max="7" width="3.28515625" style="193" customWidth="1"/>
    <col min="8" max="8" width="16.42578125" style="203" bestFit="1" customWidth="1"/>
    <col min="9" max="9" width="11.42578125" style="139" customWidth="1"/>
    <col min="10" max="10" width="1.7109375" style="139" customWidth="1"/>
    <col min="11" max="11" width="11.7109375" style="139" bestFit="1" customWidth="1"/>
    <col min="12" max="12" width="38.7109375" style="139" bestFit="1" customWidth="1"/>
    <col min="13" max="13" width="1.28515625" style="139" customWidth="1"/>
    <col min="14" max="14" width="10.28515625" style="139" bestFit="1" customWidth="1"/>
    <col min="15" max="15" width="13.7109375" style="139" bestFit="1" customWidth="1"/>
    <col min="16" max="16" width="17.7109375" style="139" customWidth="1"/>
    <col min="17" max="17" width="11.42578125" style="139" customWidth="1"/>
    <col min="18" max="18" width="11.7109375" style="139" bestFit="1" customWidth="1"/>
    <col min="19" max="16384" width="11.42578125" style="139"/>
  </cols>
  <sheetData>
    <row r="1" spans="1:20" x14ac:dyDescent="0.2">
      <c r="A1" s="187" t="s">
        <v>583</v>
      </c>
      <c r="B1" s="620" t="s">
        <v>204</v>
      </c>
      <c r="C1" s="620"/>
      <c r="D1" s="620"/>
      <c r="E1" s="620"/>
      <c r="F1" s="200" t="s">
        <v>20</v>
      </c>
      <c r="G1" s="201"/>
      <c r="H1" s="202">
        <f>H3+H10+H18+H22+H30+H31+H32</f>
        <v>1454393.1404714179</v>
      </c>
      <c r="P1" s="203"/>
    </row>
    <row r="2" spans="1:20" ht="13.5" thickBot="1" x14ac:dyDescent="0.25"/>
    <row r="3" spans="1:20" ht="15.75" thickBot="1" x14ac:dyDescent="0.25">
      <c r="B3" s="204" t="s">
        <v>590</v>
      </c>
      <c r="C3" s="620" t="s">
        <v>98</v>
      </c>
      <c r="D3" s="620"/>
      <c r="E3" s="621"/>
      <c r="F3" s="205" t="s">
        <v>20</v>
      </c>
      <c r="G3" s="206"/>
      <c r="H3" s="207">
        <f>SUM(H4:H8)</f>
        <v>201828.46696515154</v>
      </c>
      <c r="J3" s="537" t="s">
        <v>84</v>
      </c>
      <c r="K3" s="538"/>
      <c r="L3" s="538"/>
      <c r="M3" s="539"/>
    </row>
    <row r="4" spans="1:20" ht="15" x14ac:dyDescent="0.25">
      <c r="D4" s="192" t="s">
        <v>584</v>
      </c>
      <c r="E4" s="192" t="s">
        <v>102</v>
      </c>
      <c r="F4" s="208"/>
      <c r="G4" s="209" t="s">
        <v>20</v>
      </c>
      <c r="H4" s="210">
        <f>'A.IX.a. Deprec. veículos'!G287</f>
        <v>173291.56718181822</v>
      </c>
      <c r="J4" s="62"/>
      <c r="K4" s="63"/>
      <c r="L4" s="63"/>
      <c r="M4" s="64"/>
    </row>
    <row r="5" spans="1:20" ht="15" x14ac:dyDescent="0.25">
      <c r="D5" s="192" t="s">
        <v>585</v>
      </c>
      <c r="E5" s="192" t="s">
        <v>103</v>
      </c>
      <c r="F5" s="211"/>
      <c r="G5" s="209" t="s">
        <v>20</v>
      </c>
      <c r="H5" s="210">
        <f>((((IF('2.1.c Insumos'!F72="",'A.IX.b. Deprec. garagem equip. '!H13,'A.IX.b. Deprec. garagem equip. '!D13)))*(IF('2.1.c Insumos'!F73="",(1/'A.IX.b. Deprec. garagem equip. '!E8),(1/IF('2.1.c Insumos'!F73=0,'A.IX.b. Deprec. garagem equip. '!E8,'2.1.c Insumos'!F73)))))+(IF('2.1.c Insumos'!F75="",'A.IX.b. Deprec. garagem equip. '!H17,'A.IX.b. Deprec. garagem equip. '!D17))*(IF('2.1.c Insumos'!F76="",(1/'A.IX.b. Deprec. garagem equip. '!E9),(1/IF('2.1.c Insumos'!F76=0,'A.IX.b. Deprec. garagem equip. '!E9,'2.1.c Insumos'!F76)))))*'2.1.b Veículos'!D58*(SUM('1.3 Frota Total'!C19:F25))/12</f>
        <v>14728.60811666667</v>
      </c>
      <c r="J5" s="65"/>
      <c r="K5" s="66"/>
      <c r="L5" s="67" t="s">
        <v>82</v>
      </c>
      <c r="M5" s="68"/>
    </row>
    <row r="6" spans="1:20" ht="15" x14ac:dyDescent="0.25">
      <c r="D6" s="192" t="s">
        <v>586</v>
      </c>
      <c r="E6" s="192" t="s">
        <v>104</v>
      </c>
      <c r="F6" s="211"/>
      <c r="G6" s="209" t="s">
        <v>20</v>
      </c>
      <c r="H6" s="210">
        <f>(IF('2.1.c Insumos'!F78="",'A.IX.b. Deprec. garagem equip. '!H26,'A.IX.b. Deprec. garagem equip. '!D26))*(IF('2.1.c Insumos'!F79="",(1/'A.IX.b. Deprec. garagem equip. '!E22),(1/IF('2.1.c Insumos'!F79=0,'A.IX.b. Deprec. garagem equip. '!E22,'2.1.c Insumos'!F79))))*'2.1.b Veículos'!D58*(SUM('1.3 Frota Total'!C19:F25))/12</f>
        <v>0</v>
      </c>
      <c r="J6" s="65"/>
      <c r="K6" s="71"/>
      <c r="L6" s="67" t="s">
        <v>94</v>
      </c>
      <c r="M6" s="68"/>
      <c r="P6" s="203"/>
    </row>
    <row r="7" spans="1:20" ht="15" x14ac:dyDescent="0.25">
      <c r="D7" s="192" t="s">
        <v>587</v>
      </c>
      <c r="E7" s="192" t="s">
        <v>105</v>
      </c>
      <c r="F7" s="211"/>
      <c r="G7" s="209" t="s">
        <v>20</v>
      </c>
      <c r="H7" s="210">
        <f>(('2.1.b Veículos'!D17*(1/'A.IX.b. Deprec. garagem equip. '!E31)*(1-'A.IX.b. Deprec. garagem equip. '!F31))+('2.1.b Veículos'!D18*(1/'A.IX.b. Deprec. garagem equip. '!E32)*(1-'A.IX.b. Deprec. garagem equip. '!F32))+('2.1.b Veículos'!D19*(1/'A.IX.b. Deprec. garagem equip. '!E33)*(1-'A.IX.b. Deprec. garagem equip. '!F33))+('2.1.b Veículos'!D20*(1/'A.IX.b. Deprec. garagem equip. '!E34)*(1-'A.IX.b. Deprec. garagem equip. '!F34))+('2.1.b Veículos'!D21*(1/'A.IX.b. Deprec. garagem equip. '!E35)*(1-'A.IX.b. Deprec. garagem equip. '!F35)))/12</f>
        <v>3619.7916666666665</v>
      </c>
      <c r="J7" s="65"/>
      <c r="K7" s="72"/>
      <c r="L7" s="67" t="s">
        <v>83</v>
      </c>
      <c r="M7" s="68"/>
      <c r="P7" s="203"/>
    </row>
    <row r="8" spans="1:20" ht="15.75" thickBot="1" x14ac:dyDescent="0.3">
      <c r="D8" s="192" t="s">
        <v>588</v>
      </c>
      <c r="E8" s="192" t="s">
        <v>106</v>
      </c>
      <c r="F8" s="212"/>
      <c r="G8" s="209" t="s">
        <v>20</v>
      </c>
      <c r="H8" s="210">
        <f>IF('2.1.c Insumos'!F60=0,0,('2.1.c Insumos'!F61/(('2.1.c Insumos'!F60)*12)))</f>
        <v>10188.5</v>
      </c>
      <c r="J8" s="73"/>
      <c r="K8" s="74"/>
      <c r="L8" s="74"/>
      <c r="M8" s="75"/>
      <c r="P8" s="203"/>
    </row>
    <row r="9" spans="1:20" x14ac:dyDescent="0.2">
      <c r="F9" s="213"/>
      <c r="G9" s="213"/>
    </row>
    <row r="10" spans="1:20" x14ac:dyDescent="0.2">
      <c r="B10" s="204" t="s">
        <v>589</v>
      </c>
      <c r="C10" s="620" t="s">
        <v>597</v>
      </c>
      <c r="D10" s="620"/>
      <c r="E10" s="621"/>
      <c r="F10" s="205" t="s">
        <v>20</v>
      </c>
      <c r="G10" s="206"/>
      <c r="H10" s="214">
        <f>SUM(H11:H16)</f>
        <v>111393.32506313638</v>
      </c>
      <c r="L10" s="197"/>
      <c r="R10" s="203"/>
      <c r="T10" s="197"/>
    </row>
    <row r="11" spans="1:20" x14ac:dyDescent="0.2">
      <c r="D11" s="192" t="s">
        <v>591</v>
      </c>
      <c r="E11" s="192" t="s">
        <v>107</v>
      </c>
      <c r="F11" s="208"/>
      <c r="G11" s="209" t="s">
        <v>20</v>
      </c>
      <c r="H11" s="210">
        <f>'A.X.a. Remun. veículos '!G270</f>
        <v>74322.57636363637</v>
      </c>
    </row>
    <row r="12" spans="1:20" x14ac:dyDescent="0.2">
      <c r="D12" s="192" t="s">
        <v>592</v>
      </c>
      <c r="E12" s="192" t="s">
        <v>108</v>
      </c>
      <c r="F12" s="211"/>
      <c r="G12" s="209" t="s">
        <v>20</v>
      </c>
      <c r="H12" s="210">
        <f>'A.X.b.  Remun. garagem equip.'!D20</f>
        <v>26586.603699499999</v>
      </c>
    </row>
    <row r="13" spans="1:20" x14ac:dyDescent="0.2">
      <c r="D13" s="192" t="s">
        <v>593</v>
      </c>
      <c r="E13" s="192" t="s">
        <v>109</v>
      </c>
      <c r="F13" s="211"/>
      <c r="G13" s="209" t="s">
        <v>20</v>
      </c>
      <c r="H13" s="210">
        <f>'2.1.c Insumos'!F63*'2.1. Custo Variável'!E7*('2.1.c Insumos'!F68/100)/12</f>
        <v>3086.2719999999995</v>
      </c>
      <c r="O13" s="215"/>
    </row>
    <row r="14" spans="1:20" x14ac:dyDescent="0.2">
      <c r="D14" s="192" t="s">
        <v>594</v>
      </c>
      <c r="E14" s="192" t="s">
        <v>110</v>
      </c>
      <c r="F14" s="211"/>
      <c r="G14" s="209" t="s">
        <v>20</v>
      </c>
      <c r="H14" s="210">
        <f>IF('2.1.c Insumos'!F78="",('A.X.c. Remun. Eq. Bilhet. ITS'!D9*('2.1.c Insumos'!F68/100)*'2.1.b Veículos'!D58*SUM('1.3 Frota Total'!C19:F25)/12),('A.X.c. Remun. Eq. Bilhet. ITS'!D7*('2.1.c Insumos'!F68/100)*'2.1.b Veículos'!D58*SUM('1.3 Frota Total'!C19:F25)/12))</f>
        <v>0</v>
      </c>
      <c r="P14" s="203"/>
    </row>
    <row r="15" spans="1:20" x14ac:dyDescent="0.2">
      <c r="D15" s="192" t="s">
        <v>595</v>
      </c>
      <c r="E15" s="192" t="s">
        <v>111</v>
      </c>
      <c r="F15" s="211"/>
      <c r="G15" s="209" t="s">
        <v>20</v>
      </c>
      <c r="H15" s="210">
        <f>SUM('1.3 Frota Total'!C19:F25)*'2.1.c Insumos'!F31*('2.1.c Insumos'!F68/100)*'A.X.d. Remun. Vec. Apoio'!D7/12</f>
        <v>2323.9999999999995</v>
      </c>
      <c r="P15" s="203"/>
    </row>
    <row r="16" spans="1:20" x14ac:dyDescent="0.2">
      <c r="D16" s="192" t="s">
        <v>596</v>
      </c>
      <c r="E16" s="192" t="s">
        <v>112</v>
      </c>
      <c r="F16" s="212"/>
      <c r="G16" s="209" t="s">
        <v>20</v>
      </c>
      <c r="H16" s="210">
        <f>'2.1.c Insumos'!F61*('2.1.c Insumos'!F68/100)*'A.X.e. Remun. Infraes'!C7/12</f>
        <v>5073.8729999999996</v>
      </c>
      <c r="P16" s="203"/>
    </row>
    <row r="17" spans="2:16" x14ac:dyDescent="0.2">
      <c r="F17" s="213"/>
      <c r="G17" s="213"/>
    </row>
    <row r="18" spans="2:16" x14ac:dyDescent="0.2">
      <c r="B18" s="204" t="s">
        <v>599</v>
      </c>
      <c r="C18" s="620" t="s">
        <v>598</v>
      </c>
      <c r="D18" s="620"/>
      <c r="E18" s="621"/>
      <c r="F18" s="205" t="s">
        <v>20</v>
      </c>
      <c r="G18" s="206"/>
      <c r="H18" s="207">
        <f>SUM(H19:H20)</f>
        <v>1067277.3034431301</v>
      </c>
    </row>
    <row r="19" spans="2:16" x14ac:dyDescent="0.2">
      <c r="D19" s="192" t="s">
        <v>600</v>
      </c>
      <c r="E19" s="192" t="s">
        <v>113</v>
      </c>
      <c r="F19" s="208"/>
      <c r="G19" s="209" t="s">
        <v>20</v>
      </c>
      <c r="H19" s="210">
        <f>(((('2.1.c Insumos'!F34*'2.1.c Insumos'!F42)+('2.1.c Insumos'!F35*'2.1.c Insumos'!F43)+('2.1.c Insumos'!F36*'2.1.c Insumos'!F44)+('2.1.c Insumos'!F37*'2.1.c Insumos'!F45))*((1+('2.1.c Insumos'!F50/100)))+(('2.1.c Insumos'!F38*'2.1.c Insumos'!F46)+('2.1.c Insumos'!F39*'2.1.c Insumos'!F47)+('2.1.c Insumos'!F40*'2.1.c Insumos'!F48)+('2.1.c Insumos'!F41*'2.1.c Insumos'!F49)))*'1.4 Indicadores'!E17)</f>
        <v>736053.31271940004</v>
      </c>
      <c r="N19" s="216"/>
      <c r="P19" s="217"/>
    </row>
    <row r="20" spans="2:16" x14ac:dyDescent="0.2">
      <c r="D20" s="192" t="s">
        <v>601</v>
      </c>
      <c r="E20" s="192" t="s">
        <v>114</v>
      </c>
      <c r="F20" s="212"/>
      <c r="G20" s="209" t="s">
        <v>20</v>
      </c>
      <c r="H20" s="210">
        <f>H19*('2.1.c Insumos'!F51/100)</f>
        <v>331223.99072373001</v>
      </c>
    </row>
    <row r="21" spans="2:16" x14ac:dyDescent="0.2">
      <c r="F21" s="213"/>
      <c r="G21" s="213"/>
      <c r="N21" s="217"/>
    </row>
    <row r="22" spans="2:16" x14ac:dyDescent="0.2">
      <c r="B22" s="187" t="s">
        <v>602</v>
      </c>
      <c r="C22" s="620" t="s">
        <v>99</v>
      </c>
      <c r="D22" s="620"/>
      <c r="E22" s="621"/>
      <c r="F22" s="205" t="s">
        <v>20</v>
      </c>
      <c r="G22" s="206"/>
      <c r="H22" s="207">
        <f>SUM(H23:H27)</f>
        <v>37854.79</v>
      </c>
    </row>
    <row r="23" spans="2:16" x14ac:dyDescent="0.2">
      <c r="D23" s="192" t="s">
        <v>603</v>
      </c>
      <c r="E23" s="192" t="s">
        <v>115</v>
      </c>
      <c r="F23" s="208"/>
      <c r="G23" s="209" t="s">
        <v>20</v>
      </c>
      <c r="H23" s="210">
        <f>'2.1.c Insumos'!F93/12</f>
        <v>37100</v>
      </c>
    </row>
    <row r="24" spans="2:16" x14ac:dyDescent="0.2">
      <c r="D24" s="192" t="s">
        <v>604</v>
      </c>
      <c r="E24" s="192" t="s">
        <v>116</v>
      </c>
      <c r="F24" s="211"/>
      <c r="G24" s="209" t="s">
        <v>20</v>
      </c>
      <c r="H24" s="210">
        <f>('2.1.c Insumos'!F54+'2.1.c Insumos'!F55)*SUM('1.3 Frota Total'!C19:F25)/12</f>
        <v>318.29000000000002</v>
      </c>
    </row>
    <row r="25" spans="2:16" x14ac:dyDescent="0.2">
      <c r="D25" s="192" t="s">
        <v>605</v>
      </c>
      <c r="E25" s="192" t="s">
        <v>117</v>
      </c>
      <c r="F25" s="211"/>
      <c r="G25" s="209" t="s">
        <v>20</v>
      </c>
      <c r="H25" s="210">
        <f>'2.1.c Insumos'!F56/12</f>
        <v>0</v>
      </c>
    </row>
    <row r="26" spans="2:16" x14ac:dyDescent="0.2">
      <c r="D26" s="192" t="s">
        <v>606</v>
      </c>
      <c r="E26" s="192" t="s">
        <v>118</v>
      </c>
      <c r="F26" s="211"/>
      <c r="G26" s="209" t="s">
        <v>20</v>
      </c>
      <c r="H26" s="210">
        <f>'2.1.c Insumos'!F57/12</f>
        <v>0</v>
      </c>
    </row>
    <row r="27" spans="2:16" x14ac:dyDescent="0.2">
      <c r="D27" s="192" t="s">
        <v>607</v>
      </c>
      <c r="E27" s="192" t="s">
        <v>612</v>
      </c>
      <c r="F27" s="212"/>
      <c r="G27" s="209" t="s">
        <v>20</v>
      </c>
      <c r="H27" s="210">
        <f>'2.1.c Insumos'!F83</f>
        <v>436.5</v>
      </c>
    </row>
    <row r="28" spans="2:16" x14ac:dyDescent="0.2">
      <c r="F28" s="213"/>
      <c r="G28" s="213"/>
    </row>
    <row r="29" spans="2:16" s="167" customFormat="1" x14ac:dyDescent="0.2"/>
    <row r="30" spans="2:16" x14ac:dyDescent="0.2">
      <c r="B30" s="204" t="s">
        <v>608</v>
      </c>
      <c r="C30" s="620" t="s">
        <v>100</v>
      </c>
      <c r="D30" s="620"/>
      <c r="E30" s="621"/>
      <c r="F30" s="218" t="s">
        <v>20</v>
      </c>
      <c r="G30" s="206"/>
      <c r="H30" s="207">
        <f>(1/12)*(('2.1.c Insumos'!F84*SUM('1.3 Frota Total'!C19:F25))+('2.1.c Insumos'!F85*'2.1.c Insumos'!F86))</f>
        <v>36039.254999999997</v>
      </c>
    </row>
    <row r="31" spans="2:16" x14ac:dyDescent="0.2">
      <c r="B31" s="204" t="s">
        <v>609</v>
      </c>
      <c r="C31" s="620" t="s">
        <v>101</v>
      </c>
      <c r="D31" s="620"/>
      <c r="E31" s="621"/>
      <c r="F31" s="218" t="s">
        <v>20</v>
      </c>
      <c r="G31" s="206"/>
      <c r="H31" s="207">
        <f>'2.1.c Insumos'!F87</f>
        <v>0</v>
      </c>
    </row>
    <row r="32" spans="2:16" s="167" customFormat="1" x14ac:dyDescent="0.2">
      <c r="B32" s="219" t="s">
        <v>610</v>
      </c>
      <c r="C32" s="220" t="s">
        <v>611</v>
      </c>
      <c r="D32" s="221"/>
      <c r="E32" s="221"/>
      <c r="F32" s="218" t="s">
        <v>20</v>
      </c>
      <c r="G32" s="206"/>
      <c r="H32" s="207">
        <f>'2.1.c Insumos'!F88</f>
        <v>0</v>
      </c>
    </row>
    <row r="36" spans="2:4" x14ac:dyDescent="0.2">
      <c r="B36" s="219"/>
      <c r="C36" s="222"/>
      <c r="D36" s="222"/>
    </row>
    <row r="64" spans="12:12" ht="15" x14ac:dyDescent="0.25">
      <c r="L64" s="59"/>
    </row>
  </sheetData>
  <sheetProtection password="E299" sheet="1"/>
  <mergeCells count="8">
    <mergeCell ref="C31:E31"/>
    <mergeCell ref="C22:E22"/>
    <mergeCell ref="C18:E18"/>
    <mergeCell ref="J3:M3"/>
    <mergeCell ref="C10:E10"/>
    <mergeCell ref="C3:E3"/>
    <mergeCell ref="B1:E1"/>
    <mergeCell ref="C30:E30"/>
  </mergeCells>
  <pageMargins left="0.19685039370078741" right="0.19685039370078741" top="0.78740157480314965" bottom="0.78740157480314965" header="0.31496062992125984" footer="0.31496062992125984"/>
  <pageSetup paperSize="9" scale="80" orientation="landscape"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1">
    <tabColor theme="4" tint="0.39997558519241921"/>
  </sheetPr>
  <dimension ref="A1:M53"/>
  <sheetViews>
    <sheetView showGridLines="0" workbookViewId="0">
      <selection activeCell="I22" sqref="I22"/>
    </sheetView>
  </sheetViews>
  <sheetFormatPr defaultColWidth="11.42578125" defaultRowHeight="12.75" x14ac:dyDescent="0.2"/>
  <cols>
    <col min="1" max="1" width="5.28515625" style="139" bestFit="1" customWidth="1"/>
    <col min="2" max="2" width="6.140625" style="192" customWidth="1"/>
    <col min="3" max="3" width="3.7109375" style="192" customWidth="1"/>
    <col min="4" max="4" width="7.85546875" style="192" bestFit="1" customWidth="1"/>
    <col min="5" max="5" width="53.7109375" style="192" customWidth="1"/>
    <col min="6" max="6" width="3.28515625" style="193" bestFit="1" customWidth="1"/>
    <col min="7" max="7" width="3.28515625" style="193" customWidth="1"/>
    <col min="8" max="8" width="16.42578125" style="203" bestFit="1" customWidth="1"/>
    <col min="9" max="9" width="11.42578125" style="139" customWidth="1"/>
    <col min="10" max="10" width="1.7109375" style="139" customWidth="1"/>
    <col min="11" max="11" width="11.42578125" style="139" customWidth="1"/>
    <col min="12" max="12" width="38.7109375" style="139" bestFit="1" customWidth="1"/>
    <col min="13" max="13" width="1.28515625" style="139" customWidth="1"/>
    <col min="14" max="16384" width="11.42578125" style="139"/>
  </cols>
  <sheetData>
    <row r="1" spans="1:13" x14ac:dyDescent="0.2">
      <c r="A1" s="187" t="s">
        <v>613</v>
      </c>
      <c r="B1" s="620" t="s">
        <v>205</v>
      </c>
      <c r="C1" s="620"/>
      <c r="D1" s="620"/>
      <c r="E1" s="620"/>
      <c r="F1" s="200" t="s">
        <v>20</v>
      </c>
      <c r="G1" s="201"/>
      <c r="H1" s="202">
        <f>(H3+H5)*('2.1.c Insumos'!F91/100)</f>
        <v>164124.21172956619</v>
      </c>
    </row>
    <row r="2" spans="1:13" ht="13.5" thickBot="1" x14ac:dyDescent="0.25"/>
    <row r="3" spans="1:13" ht="15.75" thickBot="1" x14ac:dyDescent="0.25">
      <c r="B3" s="187" t="s">
        <v>614</v>
      </c>
      <c r="C3" s="620" t="s">
        <v>203</v>
      </c>
      <c r="D3" s="620"/>
      <c r="E3" s="621"/>
      <c r="F3" s="205" t="s">
        <v>20</v>
      </c>
      <c r="G3" s="206"/>
      <c r="H3" s="207">
        <f>'2.1. Custo Variável'!E1</f>
        <v>790808.11437900865</v>
      </c>
      <c r="J3" s="537" t="s">
        <v>84</v>
      </c>
      <c r="K3" s="538"/>
      <c r="L3" s="538"/>
      <c r="M3" s="539"/>
    </row>
    <row r="4" spans="1:13" ht="15" x14ac:dyDescent="0.25">
      <c r="F4" s="213"/>
      <c r="G4" s="213"/>
      <c r="J4" s="62"/>
      <c r="K4" s="63"/>
      <c r="L4" s="63"/>
      <c r="M4" s="64"/>
    </row>
    <row r="5" spans="1:13" ht="15" x14ac:dyDescent="0.25">
      <c r="B5" s="187" t="s">
        <v>615</v>
      </c>
      <c r="C5" s="620" t="s">
        <v>204</v>
      </c>
      <c r="D5" s="620"/>
      <c r="E5" s="621"/>
      <c r="F5" s="205" t="s">
        <v>20</v>
      </c>
      <c r="G5" s="206"/>
      <c r="H5" s="207">
        <f>'2.2 Custo Fixo'!H1</f>
        <v>1454393.1404714179</v>
      </c>
      <c r="J5" s="65"/>
      <c r="K5" s="66"/>
      <c r="L5" s="67" t="s">
        <v>82</v>
      </c>
      <c r="M5" s="68"/>
    </row>
    <row r="6" spans="1:13" ht="15" x14ac:dyDescent="0.25">
      <c r="F6" s="213"/>
      <c r="G6" s="213"/>
      <c r="J6" s="65"/>
      <c r="K6" s="71"/>
      <c r="L6" s="67" t="s">
        <v>94</v>
      </c>
      <c r="M6" s="68"/>
    </row>
    <row r="7" spans="1:13" ht="15.75" thickBot="1" x14ac:dyDescent="0.3">
      <c r="F7" s="213"/>
      <c r="G7" s="213"/>
      <c r="J7" s="73"/>
      <c r="K7" s="74"/>
      <c r="L7" s="74"/>
      <c r="M7" s="75"/>
    </row>
    <row r="17" spans="2:8" s="167" customFormat="1" ht="30" customHeight="1" x14ac:dyDescent="0.2">
      <c r="B17" s="192"/>
      <c r="C17" s="192"/>
      <c r="D17" s="192"/>
      <c r="E17" s="192"/>
      <c r="F17" s="193"/>
      <c r="G17" s="193"/>
      <c r="H17" s="203"/>
    </row>
    <row r="53" spans="12:12" ht="15" x14ac:dyDescent="0.25">
      <c r="L53" s="59"/>
    </row>
  </sheetData>
  <sheetProtection password="E299" sheet="1"/>
  <mergeCells count="4">
    <mergeCell ref="B1:E1"/>
    <mergeCell ref="C3:E3"/>
    <mergeCell ref="J3:M3"/>
    <mergeCell ref="C5:E5"/>
  </mergeCells>
  <pageMargins left="0.23622047244094491" right="0.23622047244094491" top="0.74803149606299213" bottom="0.74803149606299213" header="0.31496062992125984" footer="0.31496062992125984"/>
  <pageSetup paperSize="9" scale="85" orientation="landscape"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2">
    <tabColor theme="3"/>
  </sheetPr>
  <dimension ref="A1:Q53"/>
  <sheetViews>
    <sheetView showGridLines="0" workbookViewId="0">
      <selection activeCell="L24" sqref="L24"/>
    </sheetView>
  </sheetViews>
  <sheetFormatPr defaultColWidth="11.42578125" defaultRowHeight="12.75" x14ac:dyDescent="0.2"/>
  <cols>
    <col min="1" max="1" width="5.28515625" style="139" bestFit="1" customWidth="1"/>
    <col min="2" max="2" width="6.140625" style="192" customWidth="1"/>
    <col min="3" max="3" width="3.7109375" style="192" customWidth="1"/>
    <col min="4" max="4" width="7.85546875" style="192" bestFit="1" customWidth="1"/>
    <col min="5" max="5" width="53.7109375" style="192" customWidth="1"/>
    <col min="6" max="6" width="3.28515625" style="193" bestFit="1" customWidth="1"/>
    <col min="7" max="7" width="3.28515625" style="193" customWidth="1"/>
    <col min="8" max="8" width="16.42578125" style="203" bestFit="1" customWidth="1"/>
    <col min="9" max="9" width="11.42578125" style="139" customWidth="1"/>
    <col min="10" max="10" width="1.7109375" style="139" customWidth="1"/>
    <col min="11" max="11" width="11.42578125" style="139" customWidth="1"/>
    <col min="12" max="12" width="38.7109375" style="139" bestFit="1" customWidth="1"/>
    <col min="13" max="13" width="1.28515625" style="139" customWidth="1"/>
    <col min="14" max="14" width="11.42578125" style="139" customWidth="1"/>
    <col min="15" max="15" width="16.28515625" style="139" bestFit="1" customWidth="1"/>
    <col min="16" max="16" width="11.42578125" style="139" customWidth="1"/>
    <col min="17" max="17" width="14" style="139" bestFit="1" customWidth="1"/>
    <col min="18" max="16384" width="11.42578125" style="139"/>
  </cols>
  <sheetData>
    <row r="1" spans="1:17" x14ac:dyDescent="0.2">
      <c r="A1" s="204" t="s">
        <v>617</v>
      </c>
      <c r="B1" s="620" t="s">
        <v>213</v>
      </c>
      <c r="C1" s="620"/>
      <c r="D1" s="620"/>
      <c r="E1" s="620"/>
      <c r="F1" s="200" t="s">
        <v>20</v>
      </c>
      <c r="G1" s="201"/>
      <c r="H1" s="202">
        <f>(H3+H5+H7)/(1-H9)</f>
        <v>2559028.6421455047</v>
      </c>
      <c r="O1" s="215"/>
      <c r="Q1" s="162"/>
    </row>
    <row r="2" spans="1:17" ht="13.5" thickBot="1" x14ac:dyDescent="0.25"/>
    <row r="3" spans="1:17" ht="15.75" thickBot="1" x14ac:dyDescent="0.25">
      <c r="B3" s="204" t="s">
        <v>576</v>
      </c>
      <c r="C3" s="620" t="s">
        <v>203</v>
      </c>
      <c r="D3" s="620"/>
      <c r="E3" s="621"/>
      <c r="F3" s="205" t="s">
        <v>20</v>
      </c>
      <c r="G3" s="206"/>
      <c r="H3" s="207">
        <f>'2.1. Custo Variável'!E1</f>
        <v>790808.11437900865</v>
      </c>
      <c r="J3" s="537" t="s">
        <v>84</v>
      </c>
      <c r="K3" s="538"/>
      <c r="L3" s="538"/>
      <c r="M3" s="539"/>
      <c r="O3" s="162"/>
    </row>
    <row r="4" spans="1:17" ht="15" x14ac:dyDescent="0.25">
      <c r="B4" s="223"/>
      <c r="F4" s="213"/>
      <c r="G4" s="213"/>
      <c r="J4" s="62"/>
      <c r="K4" s="63"/>
      <c r="L4" s="63"/>
      <c r="M4" s="64"/>
    </row>
    <row r="5" spans="1:17" ht="15" x14ac:dyDescent="0.25">
      <c r="B5" s="204" t="s">
        <v>583</v>
      </c>
      <c r="C5" s="620" t="s">
        <v>204</v>
      </c>
      <c r="D5" s="620"/>
      <c r="E5" s="621"/>
      <c r="F5" s="205" t="s">
        <v>20</v>
      </c>
      <c r="G5" s="206"/>
      <c r="H5" s="207">
        <f>'2.2 Custo Fixo'!H1</f>
        <v>1454393.1404714179</v>
      </c>
      <c r="J5" s="65"/>
      <c r="K5" s="66"/>
      <c r="L5" s="67" t="s">
        <v>82</v>
      </c>
      <c r="M5" s="68"/>
      <c r="O5" s="203"/>
    </row>
    <row r="6" spans="1:17" ht="15" x14ac:dyDescent="0.25">
      <c r="B6" s="223"/>
      <c r="F6" s="213"/>
      <c r="G6" s="213"/>
      <c r="J6" s="65"/>
      <c r="K6" s="71"/>
      <c r="L6" s="67" t="s">
        <v>94</v>
      </c>
      <c r="M6" s="68"/>
    </row>
    <row r="7" spans="1:17" ht="15" x14ac:dyDescent="0.25">
      <c r="B7" s="204" t="s">
        <v>613</v>
      </c>
      <c r="C7" s="620" t="s">
        <v>205</v>
      </c>
      <c r="D7" s="620"/>
      <c r="E7" s="621"/>
      <c r="F7" s="205" t="s">
        <v>20</v>
      </c>
      <c r="G7" s="206"/>
      <c r="H7" s="207">
        <f>'2.3 RPS'!H1</f>
        <v>164124.21172956619</v>
      </c>
      <c r="J7" s="65"/>
      <c r="K7" s="72"/>
      <c r="L7" s="67" t="s">
        <v>83</v>
      </c>
      <c r="M7" s="68"/>
    </row>
    <row r="8" spans="1:17" ht="15.75" thickBot="1" x14ac:dyDescent="0.3">
      <c r="B8" s="223"/>
      <c r="F8" s="213"/>
      <c r="G8" s="213"/>
      <c r="J8" s="73"/>
      <c r="K8" s="74"/>
      <c r="L8" s="74"/>
      <c r="M8" s="75"/>
    </row>
    <row r="9" spans="1:17" x14ac:dyDescent="0.2">
      <c r="B9" s="204" t="s">
        <v>616</v>
      </c>
      <c r="C9" s="620" t="s">
        <v>788</v>
      </c>
      <c r="D9" s="620"/>
      <c r="E9" s="621"/>
      <c r="F9" s="205"/>
      <c r="G9" s="206"/>
      <c r="H9" s="224">
        <f>SUM('2.1.c Insumos'!F96:F102)/100</f>
        <v>5.8499999999999996E-2</v>
      </c>
    </row>
    <row r="17" spans="2:8" s="167" customFormat="1" ht="30" customHeight="1" x14ac:dyDescent="0.2">
      <c r="B17" s="192"/>
      <c r="C17" s="192"/>
      <c r="D17" s="192"/>
      <c r="E17" s="192"/>
      <c r="F17" s="193"/>
      <c r="G17" s="193"/>
      <c r="H17" s="203"/>
    </row>
    <row r="53" spans="12:12" ht="15" x14ac:dyDescent="0.25">
      <c r="L53" s="59"/>
    </row>
  </sheetData>
  <sheetProtection password="E299" sheet="1"/>
  <mergeCells count="6">
    <mergeCell ref="C9:E9"/>
    <mergeCell ref="B1:E1"/>
    <mergeCell ref="C3:E3"/>
    <mergeCell ref="J3:M3"/>
    <mergeCell ref="C5:E5"/>
    <mergeCell ref="C7:E7"/>
  </mergeCells>
  <pageMargins left="0.23622047244094491" right="0.23622047244094491" top="0.74803149606299213" bottom="0.74803149606299213" header="0.31496062992125984" footer="0.31496062992125984"/>
  <pageSetup paperSize="9" scale="8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3">
    <tabColor theme="3"/>
  </sheetPr>
  <dimension ref="A1:P53"/>
  <sheetViews>
    <sheetView showGridLines="0" workbookViewId="0">
      <selection activeCell="L35" sqref="L35"/>
    </sheetView>
  </sheetViews>
  <sheetFormatPr defaultColWidth="11.42578125" defaultRowHeight="12.75" x14ac:dyDescent="0.2"/>
  <cols>
    <col min="1" max="1" width="5.28515625" style="139" bestFit="1" customWidth="1"/>
    <col min="2" max="2" width="6.140625" style="192" customWidth="1"/>
    <col min="3" max="3" width="3.7109375" style="192" customWidth="1"/>
    <col min="4" max="4" width="7.85546875" style="192" bestFit="1" customWidth="1"/>
    <col min="5" max="5" width="53.7109375" style="192" customWidth="1"/>
    <col min="6" max="6" width="3.28515625" style="193" bestFit="1" customWidth="1"/>
    <col min="7" max="7" width="3.28515625" style="193" customWidth="1"/>
    <col min="8" max="8" width="16.42578125" style="203" bestFit="1" customWidth="1"/>
    <col min="9" max="9" width="11.42578125" style="139" customWidth="1"/>
    <col min="10" max="10" width="1.7109375" style="139" customWidth="1"/>
    <col min="11" max="11" width="11.42578125" style="139" customWidth="1"/>
    <col min="12" max="12" width="38.7109375" style="139" bestFit="1" customWidth="1"/>
    <col min="13" max="13" width="1.28515625" style="139" customWidth="1"/>
    <col min="14" max="15" width="11.42578125" style="139" customWidth="1"/>
    <col min="16" max="16" width="16.28515625" style="139" bestFit="1" customWidth="1"/>
    <col min="17" max="16384" width="11.42578125" style="139"/>
  </cols>
  <sheetData>
    <row r="1" spans="1:16" x14ac:dyDescent="0.2">
      <c r="A1" s="187" t="s">
        <v>934</v>
      </c>
      <c r="B1" s="620" t="s">
        <v>935</v>
      </c>
      <c r="C1" s="620"/>
      <c r="D1" s="620"/>
      <c r="E1" s="620"/>
      <c r="F1" s="200" t="s">
        <v>20</v>
      </c>
      <c r="G1" s="201"/>
      <c r="H1" s="225">
        <f>H3/H5</f>
        <v>13.492432101745743</v>
      </c>
      <c r="P1" s="226"/>
    </row>
    <row r="2" spans="1:16" ht="13.5" thickBot="1" x14ac:dyDescent="0.25"/>
    <row r="3" spans="1:16" ht="15.75" thickBot="1" x14ac:dyDescent="0.25">
      <c r="B3" s="187" t="s">
        <v>768</v>
      </c>
      <c r="C3" s="620" t="s">
        <v>218</v>
      </c>
      <c r="D3" s="620"/>
      <c r="E3" s="621"/>
      <c r="F3" s="205" t="s">
        <v>20</v>
      </c>
      <c r="G3" s="206"/>
      <c r="H3" s="207">
        <f>'4. Custo Total'!H1</f>
        <v>2559028.6421455047</v>
      </c>
      <c r="J3" s="537" t="s">
        <v>84</v>
      </c>
      <c r="K3" s="538"/>
      <c r="L3" s="538"/>
      <c r="M3" s="539"/>
      <c r="P3" s="215"/>
    </row>
    <row r="4" spans="1:16" ht="15" x14ac:dyDescent="0.25">
      <c r="F4" s="213"/>
      <c r="G4" s="213"/>
      <c r="J4" s="62"/>
      <c r="K4" s="63"/>
      <c r="L4" s="63"/>
      <c r="M4" s="64"/>
    </row>
    <row r="5" spans="1:16" ht="15" x14ac:dyDescent="0.25">
      <c r="B5" s="187" t="s">
        <v>769</v>
      </c>
      <c r="C5" s="620" t="s">
        <v>936</v>
      </c>
      <c r="D5" s="620"/>
      <c r="E5" s="621"/>
      <c r="F5" s="205" t="s">
        <v>20</v>
      </c>
      <c r="G5" s="206"/>
      <c r="H5" s="227">
        <f>'1.1. Passageiros'!D11</f>
        <v>189664</v>
      </c>
      <c r="J5" s="65"/>
      <c r="K5" s="66"/>
      <c r="L5" s="67" t="s">
        <v>82</v>
      </c>
      <c r="M5" s="68"/>
      <c r="P5" s="203"/>
    </row>
    <row r="6" spans="1:16" ht="15" x14ac:dyDescent="0.25">
      <c r="F6" s="213"/>
      <c r="G6" s="213"/>
      <c r="J6" s="65"/>
      <c r="K6" s="71"/>
      <c r="L6" s="67" t="s">
        <v>94</v>
      </c>
      <c r="M6" s="68"/>
    </row>
    <row r="7" spans="1:16" ht="15" x14ac:dyDescent="0.25">
      <c r="J7" s="65"/>
      <c r="K7" s="72"/>
      <c r="L7" s="67" t="s">
        <v>83</v>
      </c>
      <c r="M7" s="68"/>
    </row>
    <row r="8" spans="1:16" ht="15.75" thickBot="1" x14ac:dyDescent="0.3">
      <c r="J8" s="73"/>
      <c r="K8" s="74"/>
      <c r="L8" s="74"/>
      <c r="M8" s="75"/>
    </row>
    <row r="18" spans="2:8" s="167" customFormat="1" ht="30" customHeight="1" x14ac:dyDescent="0.2">
      <c r="B18" s="192"/>
      <c r="C18" s="192"/>
      <c r="D18" s="192"/>
      <c r="E18" s="192"/>
      <c r="F18" s="193"/>
      <c r="G18" s="193"/>
      <c r="H18" s="203"/>
    </row>
    <row r="53" spans="12:12" ht="15" x14ac:dyDescent="0.25">
      <c r="L53" s="59"/>
    </row>
  </sheetData>
  <sheetProtection password="E299" sheet="1"/>
  <mergeCells count="4">
    <mergeCell ref="B1:E1"/>
    <mergeCell ref="C3:E3"/>
    <mergeCell ref="J3:M3"/>
    <mergeCell ref="C5:E5"/>
  </mergeCells>
  <pageMargins left="0.23622047244094491" right="0.23622047244094491" top="0.74803149606299213" bottom="0.74803149606299213" header="0.31496062992125984" footer="0.31496062992125984"/>
  <pageSetup paperSize="9" scale="8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4">
    <tabColor theme="3"/>
  </sheetPr>
  <dimension ref="A1:P53"/>
  <sheetViews>
    <sheetView showGridLines="0" workbookViewId="0">
      <selection activeCell="B1" sqref="B1:E1"/>
    </sheetView>
  </sheetViews>
  <sheetFormatPr defaultColWidth="11.42578125" defaultRowHeight="12.75" x14ac:dyDescent="0.2"/>
  <cols>
    <col min="1" max="1" width="5.28515625" style="139" bestFit="1" customWidth="1"/>
    <col min="2" max="2" width="6.140625" style="192" customWidth="1"/>
    <col min="3" max="3" width="3.7109375" style="192" customWidth="1"/>
    <col min="4" max="4" width="7.85546875" style="192" bestFit="1" customWidth="1"/>
    <col min="5" max="5" width="53.7109375" style="192" customWidth="1"/>
    <col min="6" max="6" width="3.28515625" style="193" bestFit="1" customWidth="1"/>
    <col min="7" max="7" width="3.28515625" style="193" customWidth="1"/>
    <col min="8" max="8" width="16.42578125" style="203" bestFit="1" customWidth="1"/>
    <col min="9" max="9" width="11.42578125" style="139" customWidth="1"/>
    <col min="10" max="10" width="1.7109375" style="139" customWidth="1"/>
    <col min="11" max="11" width="11.42578125" style="139" customWidth="1"/>
    <col min="12" max="12" width="38.7109375" style="139" bestFit="1" customWidth="1"/>
    <col min="13" max="13" width="1.28515625" style="139" customWidth="1"/>
    <col min="14" max="15" width="11.42578125" style="139" customWidth="1"/>
    <col min="16" max="16" width="16.28515625" style="139" bestFit="1" customWidth="1"/>
    <col min="17" max="16384" width="11.42578125" style="139"/>
  </cols>
  <sheetData>
    <row r="1" spans="1:16" x14ac:dyDescent="0.2">
      <c r="A1" s="187" t="s">
        <v>765</v>
      </c>
      <c r="B1" s="620" t="s">
        <v>764</v>
      </c>
      <c r="C1" s="620"/>
      <c r="D1" s="620"/>
      <c r="E1" s="620"/>
      <c r="F1" s="200" t="s">
        <v>20</v>
      </c>
      <c r="G1" s="201"/>
      <c r="H1" s="225">
        <f>(H3-H7)/H5</f>
        <v>13.492432101745743</v>
      </c>
      <c r="P1" s="226"/>
    </row>
    <row r="2" spans="1:16" ht="13.5" thickBot="1" x14ac:dyDescent="0.25"/>
    <row r="3" spans="1:16" ht="15.75" thickBot="1" x14ac:dyDescent="0.25">
      <c r="B3" s="187" t="s">
        <v>766</v>
      </c>
      <c r="C3" s="620" t="s">
        <v>218</v>
      </c>
      <c r="D3" s="620"/>
      <c r="E3" s="621"/>
      <c r="F3" s="205" t="s">
        <v>20</v>
      </c>
      <c r="G3" s="206"/>
      <c r="H3" s="207">
        <f>'4. Custo Total'!H1</f>
        <v>2559028.6421455047</v>
      </c>
      <c r="J3" s="537" t="s">
        <v>84</v>
      </c>
      <c r="K3" s="538"/>
      <c r="L3" s="538"/>
      <c r="M3" s="539"/>
      <c r="P3" s="215"/>
    </row>
    <row r="4" spans="1:16" ht="15" x14ac:dyDescent="0.25">
      <c r="F4" s="213"/>
      <c r="G4" s="213"/>
      <c r="J4" s="62"/>
      <c r="K4" s="63"/>
      <c r="L4" s="63"/>
      <c r="M4" s="64"/>
    </row>
    <row r="5" spans="1:16" ht="15" x14ac:dyDescent="0.25">
      <c r="B5" s="187" t="s">
        <v>767</v>
      </c>
      <c r="C5" s="620" t="s">
        <v>219</v>
      </c>
      <c r="D5" s="620"/>
      <c r="E5" s="621"/>
      <c r="F5" s="205" t="s">
        <v>20</v>
      </c>
      <c r="G5" s="206"/>
      <c r="H5" s="207">
        <f>'1.4 Indicadores'!E8</f>
        <v>189664</v>
      </c>
      <c r="J5" s="65"/>
      <c r="K5" s="66"/>
      <c r="L5" s="67" t="s">
        <v>82</v>
      </c>
      <c r="M5" s="68"/>
      <c r="P5" s="203"/>
    </row>
    <row r="6" spans="1:16" ht="15" x14ac:dyDescent="0.25">
      <c r="F6" s="213"/>
      <c r="G6" s="213"/>
      <c r="J6" s="65"/>
      <c r="K6" s="71"/>
      <c r="L6" s="67" t="s">
        <v>94</v>
      </c>
      <c r="M6" s="68"/>
    </row>
    <row r="7" spans="1:16" ht="15" x14ac:dyDescent="0.25">
      <c r="B7" s="187" t="s">
        <v>770</v>
      </c>
      <c r="C7" s="620" t="s">
        <v>771</v>
      </c>
      <c r="D7" s="620"/>
      <c r="E7" s="621"/>
      <c r="F7" s="205" t="s">
        <v>20</v>
      </c>
      <c r="G7" s="206"/>
      <c r="H7" s="207">
        <f>'2.1.c Insumos'!F105</f>
        <v>0</v>
      </c>
      <c r="J7" s="65"/>
      <c r="K7" s="72"/>
      <c r="L7" s="67" t="s">
        <v>83</v>
      </c>
      <c r="M7" s="68"/>
    </row>
    <row r="8" spans="1:16" ht="15.75" thickBot="1" x14ac:dyDescent="0.3">
      <c r="J8" s="73"/>
      <c r="K8" s="74"/>
      <c r="L8" s="74"/>
      <c r="M8" s="75"/>
    </row>
    <row r="18" spans="2:8" s="167" customFormat="1" ht="30" customHeight="1" x14ac:dyDescent="0.2">
      <c r="B18" s="192"/>
      <c r="C18" s="192"/>
      <c r="D18" s="192"/>
      <c r="E18" s="192"/>
      <c r="F18" s="193"/>
      <c r="G18" s="193"/>
      <c r="H18" s="203"/>
    </row>
    <row r="53" spans="12:12" ht="15" x14ac:dyDescent="0.25">
      <c r="L53" s="59"/>
    </row>
  </sheetData>
  <sheetProtection password="E299" sheet="1"/>
  <mergeCells count="5">
    <mergeCell ref="B1:E1"/>
    <mergeCell ref="C3:E3"/>
    <mergeCell ref="J3:M3"/>
    <mergeCell ref="C5:E5"/>
    <mergeCell ref="C7:E7"/>
  </mergeCells>
  <pageMargins left="0.19685039370078741" right="0.19685039370078741" top="0.78740157480314965" bottom="0.78740157480314965" header="0.31496062992125984" footer="0.31496062992125984"/>
  <pageSetup paperSize="9" scale="8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5">
    <tabColor theme="4" tint="-0.499984740745262"/>
  </sheetPr>
  <dimension ref="A1:Z66"/>
  <sheetViews>
    <sheetView showGridLines="0" topLeftCell="A43" zoomScale="130" zoomScaleNormal="130" workbookViewId="0">
      <selection activeCell="J67" sqref="J67"/>
    </sheetView>
  </sheetViews>
  <sheetFormatPr defaultColWidth="9.140625" defaultRowHeight="12.75" x14ac:dyDescent="0.2"/>
  <cols>
    <col min="1" max="9" width="9.140625" style="139" customWidth="1"/>
    <col min="10" max="10" width="20" style="139" bestFit="1" customWidth="1"/>
    <col min="11" max="11" width="14.28515625" style="139" customWidth="1"/>
    <col min="12" max="12" width="16" style="139" bestFit="1" customWidth="1"/>
    <col min="13" max="13" width="11" style="139" customWidth="1"/>
    <col min="14" max="14" width="11.5703125" style="277" customWidth="1"/>
    <col min="15" max="15" width="9.140625" style="139" customWidth="1"/>
    <col min="16" max="16" width="16.28515625" style="139" bestFit="1" customWidth="1"/>
    <col min="17" max="16384" width="9.140625" style="139"/>
  </cols>
  <sheetData>
    <row r="1" spans="1:26" x14ac:dyDescent="0.2">
      <c r="A1" s="146"/>
      <c r="B1" s="146"/>
      <c r="C1" s="146"/>
      <c r="D1" s="146"/>
      <c r="E1" s="146"/>
      <c r="F1" s="146"/>
      <c r="G1" s="146"/>
      <c r="H1" s="146"/>
      <c r="I1" s="146"/>
      <c r="J1" s="146"/>
      <c r="K1" s="146"/>
      <c r="L1" s="146"/>
      <c r="M1" s="146"/>
      <c r="N1" s="228"/>
      <c r="O1" s="146"/>
      <c r="P1" s="146"/>
      <c r="Q1" s="146"/>
      <c r="R1" s="146"/>
      <c r="S1" s="146"/>
      <c r="T1" s="146"/>
      <c r="U1" s="146"/>
      <c r="V1" s="146"/>
      <c r="W1" s="146"/>
      <c r="X1" s="146"/>
      <c r="Y1" s="146"/>
      <c r="Z1" s="146"/>
    </row>
    <row r="2" spans="1:26" x14ac:dyDescent="0.2">
      <c r="A2" s="146"/>
      <c r="B2" s="648" t="s">
        <v>867</v>
      </c>
      <c r="C2" s="649"/>
      <c r="D2" s="649"/>
      <c r="E2" s="649"/>
      <c r="F2" s="649"/>
      <c r="G2" s="649"/>
      <c r="H2" s="649"/>
      <c r="I2" s="649"/>
      <c r="J2" s="649"/>
      <c r="K2" s="649"/>
      <c r="L2" s="649"/>
      <c r="M2" s="650"/>
      <c r="N2" s="229"/>
      <c r="O2" s="146"/>
      <c r="P2" s="146"/>
      <c r="Q2" s="146"/>
      <c r="R2" s="146"/>
      <c r="S2" s="146"/>
      <c r="T2" s="146"/>
      <c r="U2" s="146"/>
      <c r="V2" s="146"/>
      <c r="W2" s="146"/>
      <c r="X2" s="146"/>
      <c r="Y2" s="146"/>
      <c r="Z2" s="146"/>
    </row>
    <row r="3" spans="1:26" x14ac:dyDescent="0.2">
      <c r="A3" s="146"/>
      <c r="B3" s="230"/>
      <c r="C3" s="230"/>
      <c r="D3" s="230"/>
      <c r="E3" s="230"/>
      <c r="F3" s="230"/>
      <c r="G3" s="230"/>
      <c r="H3" s="230"/>
      <c r="I3" s="230"/>
      <c r="J3" s="230"/>
      <c r="K3" s="230"/>
      <c r="L3" s="230"/>
      <c r="M3" s="230"/>
      <c r="N3" s="229"/>
      <c r="O3" s="146"/>
      <c r="P3" s="146"/>
      <c r="Q3" s="146"/>
      <c r="R3" s="146"/>
      <c r="S3" s="146"/>
      <c r="T3" s="146"/>
      <c r="U3" s="146"/>
      <c r="V3" s="146"/>
      <c r="W3" s="146"/>
      <c r="X3" s="146"/>
      <c r="Y3" s="146"/>
      <c r="Z3" s="146"/>
    </row>
    <row r="4" spans="1:26" x14ac:dyDescent="0.2">
      <c r="A4" s="146"/>
      <c r="B4" s="648" t="s">
        <v>384</v>
      </c>
      <c r="C4" s="649"/>
      <c r="D4" s="649"/>
      <c r="E4" s="649"/>
      <c r="F4" s="649"/>
      <c r="G4" s="649"/>
      <c r="H4" s="649"/>
      <c r="I4" s="649"/>
      <c r="J4" s="231" t="s">
        <v>385</v>
      </c>
      <c r="K4" s="231" t="s">
        <v>386</v>
      </c>
      <c r="L4" s="231" t="s">
        <v>387</v>
      </c>
      <c r="M4" s="232" t="s">
        <v>70</v>
      </c>
      <c r="N4" s="231" t="s">
        <v>937</v>
      </c>
      <c r="O4" s="146"/>
      <c r="P4" s="146"/>
      <c r="Q4" s="146"/>
      <c r="R4" s="146"/>
      <c r="S4" s="146"/>
      <c r="T4" s="146"/>
      <c r="U4" s="146"/>
      <c r="V4" s="146"/>
      <c r="W4" s="146"/>
      <c r="X4" s="146"/>
      <c r="Y4" s="146"/>
      <c r="Z4" s="146"/>
    </row>
    <row r="5" spans="1:26" x14ac:dyDescent="0.2">
      <c r="A5" s="146"/>
      <c r="B5" s="233" t="s">
        <v>868</v>
      </c>
      <c r="C5" s="234"/>
      <c r="D5" s="234"/>
      <c r="E5" s="234"/>
      <c r="F5" s="234"/>
      <c r="G5" s="234"/>
      <c r="H5" s="234"/>
      <c r="I5" s="234"/>
      <c r="J5" s="234"/>
      <c r="K5" s="234"/>
      <c r="L5" s="234"/>
      <c r="M5" s="234"/>
      <c r="N5" s="235"/>
      <c r="O5" s="146"/>
      <c r="P5" s="146"/>
      <c r="Q5" s="146"/>
      <c r="R5" s="146"/>
      <c r="S5" s="146"/>
      <c r="T5" s="146"/>
      <c r="U5" s="146"/>
      <c r="V5" s="146"/>
      <c r="W5" s="146"/>
      <c r="X5" s="146"/>
      <c r="Y5" s="146"/>
      <c r="Z5" s="146"/>
    </row>
    <row r="6" spans="1:26" x14ac:dyDescent="0.2">
      <c r="A6" s="146"/>
      <c r="B6" s="654" t="s">
        <v>909</v>
      </c>
      <c r="C6" s="655"/>
      <c r="D6" s="655"/>
      <c r="E6" s="655"/>
      <c r="F6" s="655"/>
      <c r="G6" s="655"/>
      <c r="H6" s="655"/>
      <c r="I6" s="655"/>
      <c r="J6" s="236">
        <f>'2.1. Custo Variável'!E3</f>
        <v>484078.47494400007</v>
      </c>
      <c r="K6" s="236">
        <f>J6/(IF('1.2. KM programada'!$D$7="x",SUM('1.2. KM programada'!$Q$16:$S$115),IF('1.2. KM programada'!$D$7="X",SUM('1.2. KM programada'!$Q$16:$S$115),'1.2. KM programada'!$D$10)))</f>
        <v>2.0939189946665633</v>
      </c>
      <c r="L6" s="236">
        <f>J6/SUM('1.3 Frota Total'!$C$19:$F$25)</f>
        <v>11525.677974857144</v>
      </c>
      <c r="M6" s="237">
        <f t="shared" ref="M6:M11" si="0">J6/$J$12</f>
        <v>0.61213139590016519</v>
      </c>
      <c r="N6" s="238">
        <f t="shared" ref="N6:N12" si="1">J6/$J$63</f>
        <v>0.18916493038473606</v>
      </c>
      <c r="O6" s="146"/>
      <c r="P6" s="146"/>
      <c r="Q6" s="146"/>
      <c r="R6" s="146"/>
      <c r="S6" s="146"/>
      <c r="T6" s="146"/>
      <c r="U6" s="146"/>
      <c r="V6" s="146"/>
      <c r="W6" s="146"/>
      <c r="X6" s="146"/>
      <c r="Y6" s="146"/>
      <c r="Z6" s="146"/>
    </row>
    <row r="7" spans="1:26" x14ac:dyDescent="0.2">
      <c r="A7" s="146"/>
      <c r="B7" s="654" t="s">
        <v>910</v>
      </c>
      <c r="C7" s="655"/>
      <c r="D7" s="655"/>
      <c r="E7" s="655"/>
      <c r="F7" s="655"/>
      <c r="G7" s="655"/>
      <c r="H7" s="655"/>
      <c r="I7" s="655"/>
      <c r="J7" s="236">
        <f>'2.1. Custo Variável'!E4</f>
        <v>34621.966079999991</v>
      </c>
      <c r="K7" s="236">
        <f>J7/(IF('1.2. KM programada'!$D$7="x",SUM('1.2. KM programada'!$Q$16:$S$115),IF('1.2. KM programada'!$D$7="X",SUM('1.2. KM programada'!$Q$16:$S$115),'1.2. KM programada'!$D$10)))</f>
        <v>0.14975999999999995</v>
      </c>
      <c r="L7" s="236">
        <f>J7/SUM('1.3 Frota Total'!$C$19:$F$25)</f>
        <v>824.33252571428545</v>
      </c>
      <c r="M7" s="237">
        <f t="shared" si="0"/>
        <v>4.3780489160998678E-2</v>
      </c>
      <c r="N7" s="238">
        <f t="shared" si="1"/>
        <v>1.3529339027238371E-2</v>
      </c>
      <c r="O7" s="146"/>
      <c r="P7" s="146"/>
      <c r="Q7" s="146"/>
      <c r="R7" s="146"/>
      <c r="S7" s="146"/>
      <c r="T7" s="146"/>
      <c r="U7" s="146"/>
      <c r="V7" s="146"/>
      <c r="W7" s="146"/>
      <c r="X7" s="146"/>
      <c r="Y7" s="146"/>
      <c r="Z7" s="146"/>
    </row>
    <row r="8" spans="1:26" x14ac:dyDescent="0.2">
      <c r="A8" s="146"/>
      <c r="B8" s="654" t="s">
        <v>911</v>
      </c>
      <c r="C8" s="655"/>
      <c r="D8" s="655"/>
      <c r="E8" s="655"/>
      <c r="F8" s="655"/>
      <c r="G8" s="655"/>
      <c r="H8" s="655"/>
      <c r="I8" s="655"/>
      <c r="J8" s="236">
        <f>'2.1. Custo Variável'!E5</f>
        <v>13446.624304000003</v>
      </c>
      <c r="K8" s="236">
        <f>J8/(IF('1.2. KM programada'!$D$7="x",SUM('1.2. KM programada'!$Q$16:$S$115),IF('1.2. KM programada'!$D$7="X",SUM('1.2. KM programada'!$Q$16:$S$115),'1.2. KM programada'!$D$10)))</f>
        <v>5.8164416518515644E-2</v>
      </c>
      <c r="L8" s="236">
        <f>J8/SUM('1.3 Frota Total'!$C$19:$F$25)</f>
        <v>320.15772152380958</v>
      </c>
      <c r="M8" s="237">
        <f t="shared" si="0"/>
        <v>1.7003649886115701E-2</v>
      </c>
      <c r="N8" s="238">
        <f t="shared" si="1"/>
        <v>5.254581399576002E-3</v>
      </c>
      <c r="O8" s="146"/>
      <c r="P8" s="146"/>
      <c r="Q8" s="146"/>
      <c r="R8" s="146"/>
      <c r="S8" s="659"/>
      <c r="T8" s="659"/>
      <c r="U8" s="146"/>
      <c r="V8" s="146"/>
      <c r="W8" s="146"/>
      <c r="X8" s="146"/>
      <c r="Y8" s="146"/>
      <c r="Z8" s="146"/>
    </row>
    <row r="9" spans="1:26" x14ac:dyDescent="0.2">
      <c r="A9" s="146"/>
      <c r="B9" s="654" t="s">
        <v>912</v>
      </c>
      <c r="C9" s="655"/>
      <c r="D9" s="655"/>
      <c r="E9" s="655"/>
      <c r="F9" s="655"/>
      <c r="G9" s="655"/>
      <c r="H9" s="655"/>
      <c r="I9" s="655"/>
      <c r="J9" s="236">
        <f>'2.1. Custo Variável'!E6</f>
        <v>43691.049051008573</v>
      </c>
      <c r="K9" s="236">
        <f>J9/(IF('1.2. KM programada'!$D$7="x",SUM('1.2. KM programada'!$Q$16:$S$115),IF('1.2. KM programada'!$D$7="X",SUM('1.2. KM programada'!$Q$16:$S$115),'1.2. KM programada'!$D$10)))</f>
        <v>0.18898902190476191</v>
      </c>
      <c r="L9" s="236">
        <f>J9/SUM('1.3 Frota Total'!$C$19:$F$25)</f>
        <v>1040.2630726430612</v>
      </c>
      <c r="M9" s="237">
        <f t="shared" si="0"/>
        <v>5.5248609942903128E-2</v>
      </c>
      <c r="N9" s="238">
        <f t="shared" si="1"/>
        <v>1.7073294269335626E-2</v>
      </c>
      <c r="O9" s="146"/>
      <c r="P9" s="146"/>
      <c r="Q9" s="146"/>
      <c r="R9" s="146"/>
      <c r="S9" s="146"/>
      <c r="T9" s="146"/>
      <c r="U9" s="146"/>
      <c r="V9" s="146"/>
      <c r="W9" s="146"/>
      <c r="X9" s="146"/>
      <c r="Y9" s="146"/>
      <c r="Z9" s="146"/>
    </row>
    <row r="10" spans="1:26" x14ac:dyDescent="0.2">
      <c r="A10" s="146"/>
      <c r="B10" s="654" t="s">
        <v>913</v>
      </c>
      <c r="C10" s="655"/>
      <c r="D10" s="655"/>
      <c r="E10" s="655"/>
      <c r="F10" s="655"/>
      <c r="G10" s="655"/>
      <c r="H10" s="655"/>
      <c r="I10" s="655"/>
      <c r="J10" s="236">
        <f>'2.1. Custo Variável'!E7</f>
        <v>185920</v>
      </c>
      <c r="K10" s="236">
        <f>J10/(IF('1.2. KM programada'!$D$7="x",SUM('1.2. KM programada'!$Q$16:$S$115),IF('1.2. KM programada'!$D$7="X",SUM('1.2. KM programada'!$Q$16:$S$115),'1.2. KM programada'!$D$10)))</f>
        <v>0.80421138232482492</v>
      </c>
      <c r="L10" s="236">
        <f>J10/SUM('1.3 Frota Total'!$C$19:$F$25)</f>
        <v>4426.666666666667</v>
      </c>
      <c r="M10" s="237">
        <f t="shared" si="0"/>
        <v>0.23510128009497711</v>
      </c>
      <c r="N10" s="238">
        <f t="shared" si="1"/>
        <v>7.2652567047519864E-2</v>
      </c>
      <c r="O10" s="146"/>
      <c r="P10" s="146"/>
      <c r="Q10" s="146"/>
      <c r="R10" s="146"/>
      <c r="S10" s="146"/>
      <c r="T10" s="146"/>
      <c r="U10" s="146"/>
      <c r="V10" s="146"/>
      <c r="W10" s="146"/>
      <c r="X10" s="146"/>
      <c r="Y10" s="146"/>
      <c r="Z10" s="146"/>
    </row>
    <row r="11" spans="1:26" x14ac:dyDescent="0.2">
      <c r="A11" s="146"/>
      <c r="B11" s="660" t="s">
        <v>914</v>
      </c>
      <c r="C11" s="661"/>
      <c r="D11" s="661"/>
      <c r="E11" s="661"/>
      <c r="F11" s="661"/>
      <c r="G11" s="661"/>
      <c r="H11" s="661"/>
      <c r="I11" s="661"/>
      <c r="J11" s="239">
        <f>'2.1. Custo Variável'!E8</f>
        <v>29050</v>
      </c>
      <c r="K11" s="239">
        <f>J11/(IF('1.2. KM programada'!$D$7="x",SUM('1.2. KM programada'!$Q$16:$S$115),IF('1.2. KM programada'!$D$7="X",SUM('1.2. KM programada'!$Q$16:$S$115),'1.2. KM programada'!$D$10)))</f>
        <v>0.12565802848825389</v>
      </c>
      <c r="L11" s="239">
        <f>J11/SUM('1.3 Frota Total'!$C$19:$F$25)</f>
        <v>691.66666666666663</v>
      </c>
      <c r="M11" s="240">
        <f t="shared" si="0"/>
        <v>3.6734575014840169E-2</v>
      </c>
      <c r="N11" s="238">
        <f t="shared" si="1"/>
        <v>1.1351963601174979E-2</v>
      </c>
      <c r="O11" s="146"/>
      <c r="P11" s="146"/>
      <c r="Q11" s="146"/>
      <c r="R11" s="146"/>
      <c r="S11" s="146"/>
      <c r="T11" s="146"/>
      <c r="U11" s="146"/>
      <c r="V11" s="146"/>
      <c r="W11" s="146"/>
      <c r="X11" s="146"/>
      <c r="Y11" s="146"/>
      <c r="Z11" s="146"/>
    </row>
    <row r="12" spans="1:26" x14ac:dyDescent="0.2">
      <c r="A12" s="146"/>
      <c r="B12" s="651" t="s">
        <v>869</v>
      </c>
      <c r="C12" s="652"/>
      <c r="D12" s="652"/>
      <c r="E12" s="652"/>
      <c r="F12" s="652"/>
      <c r="G12" s="652"/>
      <c r="H12" s="652"/>
      <c r="I12" s="653"/>
      <c r="J12" s="241">
        <f>SUM(J6:J11)</f>
        <v>790808.11437900865</v>
      </c>
      <c r="K12" s="241">
        <f>SUM(K6:K11)</f>
        <v>3.4207018439029202</v>
      </c>
      <c r="L12" s="241">
        <f>SUM(L6:L11)</f>
        <v>18828.764628071636</v>
      </c>
      <c r="M12" s="242">
        <f>SUM(M6:M11)</f>
        <v>0.99999999999999989</v>
      </c>
      <c r="N12" s="238">
        <f t="shared" si="1"/>
        <v>0.30902667572958092</v>
      </c>
      <c r="O12" s="146"/>
      <c r="P12" s="146"/>
      <c r="Q12" s="146"/>
      <c r="R12" s="146"/>
      <c r="S12" s="146"/>
      <c r="T12" s="146"/>
      <c r="U12" s="146"/>
      <c r="V12" s="146"/>
      <c r="W12" s="146"/>
      <c r="X12" s="146"/>
      <c r="Y12" s="146"/>
      <c r="Z12" s="146"/>
    </row>
    <row r="13" spans="1:26" x14ac:dyDescent="0.2">
      <c r="A13" s="146"/>
      <c r="B13" s="243" t="s">
        <v>870</v>
      </c>
      <c r="C13" s="244"/>
      <c r="D13" s="244"/>
      <c r="E13" s="244"/>
      <c r="F13" s="244"/>
      <c r="G13" s="244"/>
      <c r="H13" s="244"/>
      <c r="I13" s="244"/>
      <c r="J13" s="244"/>
      <c r="K13" s="244"/>
      <c r="L13" s="244"/>
      <c r="M13" s="244"/>
      <c r="N13" s="235"/>
      <c r="O13" s="146"/>
      <c r="P13" s="146"/>
      <c r="Q13" s="146"/>
      <c r="R13" s="146"/>
      <c r="S13" s="146"/>
      <c r="T13" s="146"/>
      <c r="U13" s="146"/>
      <c r="V13" s="146"/>
      <c r="W13" s="146"/>
      <c r="X13" s="146"/>
      <c r="Y13" s="146"/>
      <c r="Z13" s="146"/>
    </row>
    <row r="14" spans="1:26" x14ac:dyDescent="0.2">
      <c r="A14" s="146"/>
      <c r="B14" s="245" t="s">
        <v>871</v>
      </c>
      <c r="C14" s="246"/>
      <c r="D14" s="246"/>
      <c r="E14" s="246"/>
      <c r="F14" s="246"/>
      <c r="G14" s="246"/>
      <c r="H14" s="246"/>
      <c r="I14" s="246"/>
      <c r="J14" s="246"/>
      <c r="K14" s="246"/>
      <c r="L14" s="246"/>
      <c r="M14" s="246"/>
      <c r="N14" s="235"/>
      <c r="O14" s="146"/>
      <c r="P14" s="146"/>
      <c r="Q14" s="146"/>
      <c r="R14" s="146"/>
      <c r="S14" s="146"/>
      <c r="T14" s="146"/>
      <c r="U14" s="146"/>
      <c r="V14" s="146"/>
      <c r="W14" s="146"/>
      <c r="X14" s="146"/>
      <c r="Y14" s="146"/>
      <c r="Z14" s="146"/>
    </row>
    <row r="15" spans="1:26" x14ac:dyDescent="0.2">
      <c r="A15" s="146"/>
      <c r="B15" s="629" t="s">
        <v>872</v>
      </c>
      <c r="C15" s="630"/>
      <c r="D15" s="630"/>
      <c r="E15" s="630"/>
      <c r="F15" s="630"/>
      <c r="G15" s="630"/>
      <c r="H15" s="630"/>
      <c r="I15" s="630"/>
      <c r="J15" s="247">
        <f>'2.2 Custo Fixo'!H19</f>
        <v>736053.31271940004</v>
      </c>
      <c r="K15" s="247">
        <f>J15/(IF('1.2. KM programada'!$D$7="x",SUM('1.2. KM programada'!$Q$16:$S$115),IF('1.2. KM programada'!$D$7="X",SUM('1.2. KM programada'!$Q$16:$S$115),'1.2. KM programada'!$D$10)))</f>
        <v>3.1838557018439939</v>
      </c>
      <c r="L15" s="247">
        <f>J15/SUM('1.3 Frota Total'!$C$19:$F$25)</f>
        <v>17525.078874271429</v>
      </c>
      <c r="M15" s="248">
        <f>J15/$J$46</f>
        <v>0.50608964814068103</v>
      </c>
      <c r="N15" s="238">
        <f>J15/$J$63</f>
        <v>0.28762996263390339</v>
      </c>
      <c r="O15" s="146"/>
      <c r="P15" s="146"/>
      <c r="Q15" s="146"/>
      <c r="R15" s="146"/>
      <c r="S15" s="146"/>
      <c r="T15" s="146"/>
      <c r="U15" s="146"/>
      <c r="V15" s="146"/>
      <c r="W15" s="146"/>
      <c r="X15" s="146"/>
      <c r="Y15" s="146"/>
      <c r="Z15" s="146"/>
    </row>
    <row r="16" spans="1:26" x14ac:dyDescent="0.2">
      <c r="A16" s="146"/>
      <c r="B16" s="629" t="s">
        <v>915</v>
      </c>
      <c r="C16" s="630"/>
      <c r="D16" s="630"/>
      <c r="E16" s="630"/>
      <c r="F16" s="630"/>
      <c r="G16" s="630"/>
      <c r="H16" s="630"/>
      <c r="I16" s="630"/>
      <c r="J16" s="247">
        <f>'2.2 Custo Fixo'!H20</f>
        <v>331223.99072373001</v>
      </c>
      <c r="K16" s="247">
        <f>J16/(IF('1.2. KM programada'!$D$7="x",SUM('1.2. KM programada'!$Q$16:$S$115),IF('1.2. KM programada'!$D$7="X",SUM('1.2. KM programada'!$Q$16:$S$115),'1.2. KM programada'!$D$10)))</f>
        <v>1.4327350658297973</v>
      </c>
      <c r="L16" s="247">
        <f>J16/SUM('1.3 Frota Total'!$C$19:$F$25)</f>
        <v>7886.2854934221432</v>
      </c>
      <c r="M16" s="248">
        <f>J16/$J$46</f>
        <v>0.22774034166330648</v>
      </c>
      <c r="N16" s="238">
        <f>J16/$J$63</f>
        <v>0.12943348318525652</v>
      </c>
      <c r="O16" s="146"/>
      <c r="P16" s="146"/>
      <c r="Q16" s="146"/>
      <c r="R16" s="146"/>
      <c r="S16" s="146"/>
      <c r="T16" s="146"/>
      <c r="U16" s="146"/>
      <c r="V16" s="146"/>
      <c r="W16" s="146"/>
      <c r="X16" s="146"/>
      <c r="Y16" s="146"/>
      <c r="Z16" s="146"/>
    </row>
    <row r="17" spans="1:26" ht="23.25" customHeight="1" x14ac:dyDescent="0.2">
      <c r="A17" s="146"/>
      <c r="B17" s="631" t="s">
        <v>396</v>
      </c>
      <c r="C17" s="632"/>
      <c r="D17" s="632"/>
      <c r="E17" s="632"/>
      <c r="F17" s="632"/>
      <c r="G17" s="632"/>
      <c r="H17" s="632"/>
      <c r="I17" s="632"/>
      <c r="J17" s="249">
        <f>SUM(J15:J16)</f>
        <v>1067277.3034431301</v>
      </c>
      <c r="K17" s="249">
        <f>SUM(K15:K16)</f>
        <v>4.6165907676737916</v>
      </c>
      <c r="L17" s="249">
        <f>SUM(L15:L16)</f>
        <v>25411.364367693572</v>
      </c>
      <c r="M17" s="250">
        <f>SUM(M15:M16)</f>
        <v>0.7338299898039875</v>
      </c>
      <c r="N17" s="238">
        <f>J17/$J$63</f>
        <v>0.41706344581915994</v>
      </c>
      <c r="O17" s="146"/>
      <c r="P17" s="146"/>
      <c r="Q17" s="146"/>
      <c r="R17" s="146"/>
      <c r="S17" s="146"/>
      <c r="T17" s="146"/>
      <c r="U17" s="146"/>
      <c r="V17" s="146"/>
      <c r="W17" s="146"/>
      <c r="X17" s="146"/>
      <c r="Y17" s="146"/>
      <c r="Z17" s="146"/>
    </row>
    <row r="18" spans="1:26" x14ac:dyDescent="0.2">
      <c r="A18" s="146"/>
      <c r="B18" s="245" t="s">
        <v>873</v>
      </c>
      <c r="C18" s="246"/>
      <c r="D18" s="246"/>
      <c r="E18" s="246"/>
      <c r="F18" s="246"/>
      <c r="G18" s="246"/>
      <c r="H18" s="246"/>
      <c r="I18" s="246"/>
      <c r="J18" s="247"/>
      <c r="K18" s="247"/>
      <c r="L18" s="247"/>
      <c r="M18" s="248"/>
      <c r="N18" s="235"/>
      <c r="O18" s="146"/>
      <c r="P18" s="146"/>
      <c r="Q18" s="146"/>
      <c r="R18" s="146"/>
      <c r="S18" s="146"/>
      <c r="T18" s="146"/>
      <c r="U18" s="146"/>
      <c r="V18" s="146"/>
      <c r="W18" s="146"/>
      <c r="X18" s="146"/>
      <c r="Y18" s="146"/>
      <c r="Z18" s="146"/>
    </row>
    <row r="19" spans="1:26" x14ac:dyDescent="0.2">
      <c r="A19" s="146"/>
      <c r="B19" s="629" t="s">
        <v>916</v>
      </c>
      <c r="C19" s="630"/>
      <c r="D19" s="630"/>
      <c r="E19" s="630"/>
      <c r="F19" s="630"/>
      <c r="G19" s="630"/>
      <c r="H19" s="630"/>
      <c r="I19" s="630"/>
      <c r="J19" s="247">
        <f>'2.2 Custo Fixo'!H23</f>
        <v>37100</v>
      </c>
      <c r="K19" s="247">
        <f>J19/(IF('1.2. KM programada'!$D$7="x",SUM('1.2. KM programada'!$Q$16:$S$115),IF('1.2. KM programada'!$D$7="X",SUM('1.2. KM programada'!$Q$16:$S$115),'1.2. KM programada'!$D$10)))</f>
        <v>0.16047892794885438</v>
      </c>
      <c r="L19" s="247">
        <f>J19/SUM('1.3 Frota Total'!$C$19:$F$25)</f>
        <v>883.33333333333337</v>
      </c>
      <c r="M19" s="248">
        <f>J19/$J$46</f>
        <v>2.5508921190301157E-2</v>
      </c>
      <c r="N19" s="238">
        <f t="shared" ref="N19:N24" si="2">J19/$J$63</f>
        <v>1.4497688454512624E-2</v>
      </c>
      <c r="O19" s="146"/>
      <c r="P19" s="146"/>
      <c r="Q19" s="146"/>
      <c r="R19" s="146"/>
      <c r="S19" s="146"/>
      <c r="T19" s="146"/>
      <c r="U19" s="146"/>
      <c r="V19" s="146"/>
      <c r="W19" s="146"/>
      <c r="X19" s="146"/>
      <c r="Y19" s="146"/>
      <c r="Z19" s="146"/>
    </row>
    <row r="20" spans="1:26" x14ac:dyDescent="0.2">
      <c r="A20" s="146"/>
      <c r="B20" s="629" t="s">
        <v>917</v>
      </c>
      <c r="C20" s="630"/>
      <c r="D20" s="630"/>
      <c r="E20" s="630"/>
      <c r="F20" s="630"/>
      <c r="G20" s="630"/>
      <c r="H20" s="630"/>
      <c r="I20" s="630"/>
      <c r="J20" s="247">
        <f>'2.2 Custo Fixo'!H24</f>
        <v>318.29000000000002</v>
      </c>
      <c r="K20" s="247">
        <f>J20/(IF('1.2. KM programada'!$D$7="x",SUM('1.2. KM programada'!$Q$16:$S$115),IF('1.2. KM programada'!$D$7="X",SUM('1.2. KM programada'!$Q$16:$S$115),'1.2. KM programada'!$D$10)))</f>
        <v>1.3767880856291337E-3</v>
      </c>
      <c r="L20" s="247">
        <f>J20/SUM('1.3 Frota Total'!$C$19:$F$25)</f>
        <v>7.578333333333334</v>
      </c>
      <c r="M20" s="248">
        <f>J20/$J$46</f>
        <v>2.1884729179679125E-4</v>
      </c>
      <c r="N20" s="238">
        <f t="shared" si="2"/>
        <v>1.2437922528805452E-4</v>
      </c>
      <c r="O20" s="146"/>
      <c r="P20" s="146"/>
      <c r="Q20" s="146"/>
      <c r="R20" s="146"/>
      <c r="S20" s="146"/>
      <c r="T20" s="146"/>
      <c r="U20" s="146"/>
      <c r="V20" s="146"/>
      <c r="W20" s="146"/>
      <c r="X20" s="146"/>
      <c r="Y20" s="146"/>
      <c r="Z20" s="146"/>
    </row>
    <row r="21" spans="1:26" x14ac:dyDescent="0.2">
      <c r="A21" s="146"/>
      <c r="B21" s="629" t="s">
        <v>874</v>
      </c>
      <c r="C21" s="630"/>
      <c r="D21" s="630"/>
      <c r="E21" s="630"/>
      <c r="F21" s="630"/>
      <c r="G21" s="630"/>
      <c r="H21" s="630"/>
      <c r="I21" s="630"/>
      <c r="J21" s="247">
        <f>'2.2 Custo Fixo'!H26</f>
        <v>0</v>
      </c>
      <c r="K21" s="247">
        <f>J21/(IF('1.2. KM programada'!$D$7="x",SUM('1.2. KM programada'!$Q$16:$S$115),IF('1.2. KM programada'!$D$7="X",SUM('1.2. KM programada'!$Q$16:$S$115),'1.2. KM programada'!$D$10)))</f>
        <v>0</v>
      </c>
      <c r="L21" s="247">
        <f>J21/SUM('1.3 Frota Total'!$C$19:$F$25)</f>
        <v>0</v>
      </c>
      <c r="M21" s="248">
        <f>J21/$J$46</f>
        <v>0</v>
      </c>
      <c r="N21" s="238">
        <f t="shared" si="2"/>
        <v>0</v>
      </c>
      <c r="O21" s="146"/>
      <c r="P21" s="146"/>
      <c r="Q21" s="146"/>
      <c r="R21" s="146"/>
      <c r="S21" s="146"/>
      <c r="T21" s="146"/>
      <c r="U21" s="146"/>
      <c r="V21" s="146"/>
      <c r="W21" s="146"/>
      <c r="X21" s="146"/>
      <c r="Y21" s="146"/>
      <c r="Z21" s="146"/>
    </row>
    <row r="22" spans="1:26" x14ac:dyDescent="0.2">
      <c r="A22" s="146"/>
      <c r="B22" s="629" t="s">
        <v>918</v>
      </c>
      <c r="C22" s="630"/>
      <c r="D22" s="630"/>
      <c r="E22" s="630"/>
      <c r="F22" s="630"/>
      <c r="G22" s="630"/>
      <c r="H22" s="630"/>
      <c r="I22" s="630"/>
      <c r="J22" s="247">
        <f>'2.2 Custo Fixo'!H25</f>
        <v>0</v>
      </c>
      <c r="K22" s="247">
        <f>J22/(IF('1.2. KM programada'!$D$7="x",SUM('1.2. KM programada'!$Q$16:$S$115),IF('1.2. KM programada'!$D$7="X",SUM('1.2. KM programada'!$Q$16:$S$115),'1.2. KM programada'!$D$10)))</f>
        <v>0</v>
      </c>
      <c r="L22" s="247">
        <f>J22/SUM('1.3 Frota Total'!$C$19:$F$25)</f>
        <v>0</v>
      </c>
      <c r="M22" s="248">
        <f>J22/$J$46</f>
        <v>0</v>
      </c>
      <c r="N22" s="238">
        <f t="shared" si="2"/>
        <v>0</v>
      </c>
      <c r="O22" s="146"/>
      <c r="P22" s="146"/>
      <c r="Q22" s="146"/>
      <c r="R22" s="146"/>
      <c r="S22" s="146"/>
      <c r="T22" s="146"/>
      <c r="U22" s="146"/>
      <c r="V22" s="146"/>
      <c r="W22" s="146"/>
      <c r="X22" s="146"/>
      <c r="Y22" s="146"/>
      <c r="Z22" s="146"/>
    </row>
    <row r="23" spans="1:26" x14ac:dyDescent="0.2">
      <c r="A23" s="146"/>
      <c r="B23" s="629" t="s">
        <v>919</v>
      </c>
      <c r="C23" s="630"/>
      <c r="D23" s="630"/>
      <c r="E23" s="630"/>
      <c r="F23" s="630"/>
      <c r="G23" s="630"/>
      <c r="H23" s="630"/>
      <c r="I23" s="630"/>
      <c r="J23" s="247">
        <f>'2.2 Custo Fixo'!H27</f>
        <v>436.5</v>
      </c>
      <c r="K23" s="247">
        <f>J22/(IF('1.2. KM programada'!$D$7="x",SUM('1.2. KM programada'!$Q$16:$S$115),IF('1.2. KM programada'!$D$7="X",SUM('1.2. KM programada'!$Q$16:$S$115),'1.2. KM programada'!$D$10)))</f>
        <v>0</v>
      </c>
      <c r="L23" s="251">
        <f>J23/SUM('1.3 Frota Total'!$C$19:$F$25)</f>
        <v>10.392857142857142</v>
      </c>
      <c r="M23" s="248">
        <f>J23/$J$46</f>
        <v>3.001251778858883E-4</v>
      </c>
      <c r="N23" s="238">
        <f t="shared" si="2"/>
        <v>1.705725339729046E-4</v>
      </c>
      <c r="O23" s="146"/>
      <c r="P23" s="146"/>
      <c r="Q23" s="146"/>
      <c r="R23" s="146"/>
      <c r="S23" s="146"/>
      <c r="T23" s="146"/>
      <c r="U23" s="146"/>
      <c r="V23" s="146"/>
      <c r="W23" s="146"/>
      <c r="X23" s="146"/>
      <c r="Y23" s="146"/>
      <c r="Z23" s="146"/>
    </row>
    <row r="24" spans="1:26" ht="24" customHeight="1" x14ac:dyDescent="0.2">
      <c r="A24" s="146"/>
      <c r="B24" s="631" t="s">
        <v>396</v>
      </c>
      <c r="C24" s="632"/>
      <c r="D24" s="632"/>
      <c r="E24" s="632"/>
      <c r="F24" s="632"/>
      <c r="G24" s="632"/>
      <c r="H24" s="632"/>
      <c r="I24" s="632"/>
      <c r="J24" s="252">
        <f>SUM(J19:J23)</f>
        <v>37854.79</v>
      </c>
      <c r="K24" s="252">
        <f>SUM(K19:K23)</f>
        <v>0.16185571603448351</v>
      </c>
      <c r="L24" s="252">
        <f>SUM(L19:L23)</f>
        <v>901.30452380952386</v>
      </c>
      <c r="M24" s="253">
        <f>SUM(M19:M23)</f>
        <v>2.6027893659983838E-2</v>
      </c>
      <c r="N24" s="238">
        <f t="shared" si="2"/>
        <v>1.4792640213773583E-2</v>
      </c>
      <c r="O24" s="146"/>
      <c r="P24" s="146"/>
      <c r="Q24" s="146"/>
      <c r="R24" s="146"/>
      <c r="S24" s="146"/>
      <c r="T24" s="146"/>
      <c r="U24" s="146"/>
      <c r="V24" s="146"/>
      <c r="W24" s="146"/>
      <c r="X24" s="146"/>
      <c r="Y24" s="146"/>
      <c r="Z24" s="146"/>
    </row>
    <row r="25" spans="1:26" x14ac:dyDescent="0.2">
      <c r="A25" s="146"/>
      <c r="B25" s="245" t="s">
        <v>875</v>
      </c>
      <c r="C25" s="246"/>
      <c r="D25" s="246"/>
      <c r="E25" s="246"/>
      <c r="F25" s="246"/>
      <c r="G25" s="246"/>
      <c r="H25" s="246"/>
      <c r="I25" s="246"/>
      <c r="J25" s="247"/>
      <c r="K25" s="247"/>
      <c r="L25" s="247"/>
      <c r="M25" s="248"/>
      <c r="N25" s="235"/>
      <c r="O25" s="146"/>
      <c r="P25" s="146"/>
      <c r="Q25" s="146"/>
      <c r="R25" s="146"/>
      <c r="S25" s="146"/>
      <c r="T25" s="146"/>
      <c r="U25" s="146"/>
      <c r="V25" s="146"/>
      <c r="W25" s="146"/>
      <c r="X25" s="146"/>
      <c r="Y25" s="146"/>
      <c r="Z25" s="146"/>
    </row>
    <row r="26" spans="1:26" x14ac:dyDescent="0.2">
      <c r="A26" s="146"/>
      <c r="B26" s="629" t="s">
        <v>920</v>
      </c>
      <c r="C26" s="630"/>
      <c r="D26" s="630"/>
      <c r="E26" s="630"/>
      <c r="F26" s="630"/>
      <c r="G26" s="630"/>
      <c r="H26" s="630"/>
      <c r="I26" s="630"/>
      <c r="J26" s="247">
        <f>'2.2 Custo Fixo'!H4</f>
        <v>173291.56718181822</v>
      </c>
      <c r="K26" s="247">
        <f>J26/(IF('1.2. KM programada'!$D$7="x",SUM('1.2. KM programada'!$Q$16:$S$115),IF('1.2. KM programada'!$D$7="X",SUM('1.2. KM programada'!$Q$16:$S$115),'1.2. KM programada'!$D$10)))</f>
        <v>0.74958611654757579</v>
      </c>
      <c r="L26" s="247">
        <f>J26/SUM('1.3 Frota Total'!$C$19:$F$25)</f>
        <v>4125.9896948051955</v>
      </c>
      <c r="M26" s="248">
        <f>J26/$J$46</f>
        <v>0.11915042938503448</v>
      </c>
      <c r="N26" s="238">
        <f>J26/$J$63</f>
        <v>6.7717713013375869E-2</v>
      </c>
      <c r="O26" s="146"/>
      <c r="P26" s="146"/>
      <c r="Q26" s="146"/>
      <c r="R26" s="146"/>
      <c r="S26" s="146"/>
      <c r="T26" s="146"/>
      <c r="U26" s="146"/>
      <c r="V26" s="146"/>
      <c r="W26" s="146"/>
      <c r="X26" s="146"/>
      <c r="Y26" s="146"/>
      <c r="Z26" s="146"/>
    </row>
    <row r="27" spans="1:26" x14ac:dyDescent="0.2">
      <c r="A27" s="146"/>
      <c r="B27" s="629" t="s">
        <v>921</v>
      </c>
      <c r="C27" s="630"/>
      <c r="D27" s="630"/>
      <c r="E27" s="630"/>
      <c r="F27" s="630"/>
      <c r="G27" s="630"/>
      <c r="H27" s="630"/>
      <c r="I27" s="630"/>
      <c r="J27" s="247">
        <f>'2.2 Custo Fixo'!H5</f>
        <v>14728.60811666667</v>
      </c>
      <c r="K27" s="247">
        <f>J27/(IF('1.2. KM programada'!$D$7="x",SUM('1.2. KM programada'!$Q$16:$S$115),IF('1.2. KM programada'!$D$7="X",SUM('1.2. KM programada'!$Q$16:$S$115),'1.2. KM programada'!$D$10)))</f>
        <v>6.3709736947209217E-2</v>
      </c>
      <c r="L27" s="247">
        <f>J27/SUM('1.3 Frota Total'!$C$19:$F$25)</f>
        <v>350.68114563492071</v>
      </c>
      <c r="M27" s="248">
        <f>J27/$J$46</f>
        <v>1.012697853614232E-2</v>
      </c>
      <c r="N27" s="238">
        <f>J27/$J$63</f>
        <v>5.7555464108905476E-3</v>
      </c>
      <c r="O27" s="146"/>
      <c r="P27" s="146"/>
      <c r="Q27" s="146"/>
      <c r="R27" s="146"/>
      <c r="S27" s="146"/>
      <c r="T27" s="146"/>
      <c r="U27" s="146"/>
      <c r="V27" s="146"/>
      <c r="W27" s="146"/>
      <c r="X27" s="146"/>
      <c r="Y27" s="146"/>
      <c r="Z27" s="146"/>
    </row>
    <row r="28" spans="1:26" x14ac:dyDescent="0.2">
      <c r="A28" s="146"/>
      <c r="B28" s="629" t="s">
        <v>922</v>
      </c>
      <c r="C28" s="630"/>
      <c r="D28" s="630"/>
      <c r="E28" s="630"/>
      <c r="F28" s="630"/>
      <c r="G28" s="630"/>
      <c r="H28" s="630"/>
      <c r="I28" s="630"/>
      <c r="J28" s="247">
        <f>'2.2 Custo Fixo'!H6</f>
        <v>0</v>
      </c>
      <c r="K28" s="247">
        <f>J28/(IF('1.2. KM programada'!$D$7="x",SUM('1.2. KM programada'!$Q$16:$S$115),IF('1.2. KM programada'!$D$7="X",SUM('1.2. KM programada'!$Q$16:$S$115),'1.2. KM programada'!$D$10)))</f>
        <v>0</v>
      </c>
      <c r="L28" s="247">
        <f>J28/SUM('1.3 Frota Total'!$C$19:$F$25)</f>
        <v>0</v>
      </c>
      <c r="M28" s="248">
        <f>J28/$J$46</f>
        <v>0</v>
      </c>
      <c r="N28" s="238">
        <f>J28/$J$63</f>
        <v>0</v>
      </c>
      <c r="O28" s="146"/>
      <c r="P28" s="146"/>
      <c r="Q28" s="146"/>
      <c r="R28" s="146"/>
      <c r="S28" s="146"/>
      <c r="T28" s="146"/>
      <c r="U28" s="146"/>
      <c r="V28" s="146"/>
      <c r="W28" s="146"/>
      <c r="X28" s="146"/>
      <c r="Y28" s="146"/>
      <c r="Z28" s="146"/>
    </row>
    <row r="29" spans="1:26" x14ac:dyDescent="0.2">
      <c r="A29" s="146"/>
      <c r="B29" s="629" t="s">
        <v>923</v>
      </c>
      <c r="C29" s="630"/>
      <c r="D29" s="630"/>
      <c r="E29" s="630"/>
      <c r="F29" s="630"/>
      <c r="G29" s="630"/>
      <c r="H29" s="630"/>
      <c r="I29" s="630"/>
      <c r="J29" s="247">
        <f>'2.2 Custo Fixo'!H7</f>
        <v>3619.7916666666665</v>
      </c>
      <c r="K29" s="247">
        <f>J29/(IF('1.2. KM programada'!$D$7="x",SUM('1.2. KM programada'!$Q$16:$S$115),IF('1.2. KM programada'!$D$7="X",SUM('1.2. KM programada'!$Q$16:$S$115),'1.2. KM programada'!$D$10)))</f>
        <v>1.565768965134403E-2</v>
      </c>
      <c r="L29" s="247">
        <f>J29/SUM('1.3 Frota Total'!$C$19:$F$25)</f>
        <v>86.185515873015873</v>
      </c>
      <c r="M29" s="248">
        <f>J29/$J$46</f>
        <v>2.4888673948870316E-3</v>
      </c>
      <c r="N29" s="238">
        <f>J29/$J$63</f>
        <v>1.4145178397189848E-3</v>
      </c>
      <c r="O29" s="146"/>
      <c r="P29" s="146"/>
      <c r="Q29" s="146"/>
      <c r="R29" s="146"/>
      <c r="S29" s="146"/>
      <c r="T29" s="146"/>
      <c r="U29" s="146"/>
      <c r="V29" s="146"/>
      <c r="W29" s="146"/>
      <c r="X29" s="146"/>
      <c r="Y29" s="146"/>
      <c r="Z29" s="146"/>
    </row>
    <row r="30" spans="1:26" x14ac:dyDescent="0.2">
      <c r="A30" s="146"/>
      <c r="B30" s="629" t="s">
        <v>924</v>
      </c>
      <c r="C30" s="630"/>
      <c r="D30" s="630"/>
      <c r="E30" s="630"/>
      <c r="F30" s="630"/>
      <c r="G30" s="630"/>
      <c r="H30" s="630"/>
      <c r="I30" s="630"/>
      <c r="J30" s="247">
        <f>'2.2 Custo Fixo'!H8</f>
        <v>10188.5</v>
      </c>
      <c r="K30" s="247">
        <f>J30/(IF('1.2. KM programada'!$D$7="x",SUM('1.2. KM programada'!$Q$16:$S$115),IF('1.2. KM programada'!$D$7="X",SUM('1.2. KM programada'!$Q$16:$S$115),'1.2. KM programada'!$D$10)))</f>
        <v>4.4071147099916518E-2</v>
      </c>
      <c r="L30" s="247">
        <f>J30/SUM('1.3 Frota Total'!$C$19:$F$25)</f>
        <v>242.58333333333334</v>
      </c>
      <c r="M30" s="248">
        <f>J30/$J$46</f>
        <v>7.0053273193364778E-3</v>
      </c>
      <c r="N30" s="238">
        <f>J30/$J$63</f>
        <v>3.9813934991590801E-3</v>
      </c>
      <c r="O30" s="146"/>
      <c r="P30" s="146"/>
      <c r="Q30" s="146"/>
      <c r="R30" s="146"/>
      <c r="S30" s="146"/>
      <c r="T30" s="146"/>
      <c r="U30" s="146"/>
      <c r="V30" s="146"/>
      <c r="W30" s="146"/>
      <c r="X30" s="146"/>
      <c r="Y30" s="146"/>
      <c r="Z30" s="146"/>
    </row>
    <row r="31" spans="1:26" ht="12" customHeight="1" x14ac:dyDescent="0.2">
      <c r="A31" s="146"/>
      <c r="B31" s="254"/>
      <c r="C31" s="255"/>
      <c r="D31" s="255"/>
      <c r="E31" s="255"/>
      <c r="F31" s="255"/>
      <c r="G31" s="255"/>
      <c r="H31" s="255"/>
      <c r="I31" s="255"/>
      <c r="J31" s="247"/>
      <c r="K31" s="247"/>
      <c r="L31" s="247"/>
      <c r="M31" s="248"/>
      <c r="N31" s="235"/>
      <c r="O31" s="146"/>
      <c r="P31" s="146"/>
      <c r="Q31" s="146"/>
      <c r="R31" s="146"/>
      <c r="S31" s="146"/>
      <c r="T31" s="146"/>
      <c r="U31" s="146"/>
      <c r="V31" s="146"/>
      <c r="W31" s="146"/>
      <c r="X31" s="146"/>
      <c r="Y31" s="146"/>
      <c r="Z31" s="146"/>
    </row>
    <row r="32" spans="1:26" x14ac:dyDescent="0.2">
      <c r="A32" s="146"/>
      <c r="B32" s="631" t="s">
        <v>396</v>
      </c>
      <c r="C32" s="632"/>
      <c r="D32" s="632"/>
      <c r="E32" s="632"/>
      <c r="F32" s="632"/>
      <c r="G32" s="632"/>
      <c r="H32" s="632"/>
      <c r="I32" s="632"/>
      <c r="J32" s="256">
        <f>SUM(J26:J30)</f>
        <v>201828.46696515154</v>
      </c>
      <c r="K32" s="256">
        <f>SUM(K26:K30)</f>
        <v>0.87302469024604556</v>
      </c>
      <c r="L32" s="256">
        <f>SUM(L26:L30)</f>
        <v>4805.439689646465</v>
      </c>
      <c r="M32" s="257">
        <f>SUM(M26:M30)</f>
        <v>0.13877160263540031</v>
      </c>
      <c r="N32" s="238">
        <f>J32/$J$63</f>
        <v>7.886917076314448E-2</v>
      </c>
      <c r="O32" s="146"/>
      <c r="P32" s="146"/>
      <c r="Q32" s="146"/>
      <c r="R32" s="146"/>
      <c r="S32" s="146"/>
      <c r="T32" s="146"/>
      <c r="U32" s="146"/>
      <c r="V32" s="146"/>
      <c r="W32" s="146"/>
      <c r="X32" s="146"/>
      <c r="Y32" s="146"/>
      <c r="Z32" s="146"/>
    </row>
    <row r="33" spans="1:26" x14ac:dyDescent="0.2">
      <c r="A33" s="146"/>
      <c r="B33" s="245" t="s">
        <v>876</v>
      </c>
      <c r="C33" s="246"/>
      <c r="D33" s="246"/>
      <c r="E33" s="246"/>
      <c r="F33" s="246"/>
      <c r="G33" s="246"/>
      <c r="H33" s="246"/>
      <c r="I33" s="246"/>
      <c r="J33" s="247"/>
      <c r="K33" s="247"/>
      <c r="L33" s="247"/>
      <c r="M33" s="248"/>
      <c r="N33" s="235"/>
      <c r="O33" s="146"/>
      <c r="P33" s="146"/>
      <c r="Q33" s="146"/>
      <c r="R33" s="146"/>
      <c r="S33" s="146"/>
      <c r="T33" s="146"/>
      <c r="U33" s="146"/>
      <c r="V33" s="146"/>
      <c r="W33" s="146"/>
      <c r="X33" s="146"/>
      <c r="Y33" s="146"/>
      <c r="Z33" s="146"/>
    </row>
    <row r="34" spans="1:26" x14ac:dyDescent="0.2">
      <c r="A34" s="146"/>
      <c r="B34" s="629" t="s">
        <v>925</v>
      </c>
      <c r="C34" s="630"/>
      <c r="D34" s="630"/>
      <c r="E34" s="630"/>
      <c r="F34" s="630"/>
      <c r="G34" s="630"/>
      <c r="H34" s="630"/>
      <c r="I34" s="630"/>
      <c r="J34" s="247">
        <f>'2.2 Custo Fixo'!H11</f>
        <v>74322.57636363637</v>
      </c>
      <c r="K34" s="247">
        <f>J34/(IF('1.2. KM programada'!$D$7="x",SUM('1.2. KM programada'!$Q$16:$S$115),IF('1.2. KM programada'!$D$7="X",SUM('1.2. KM programada'!$Q$16:$S$115),'1.2. KM programada'!$D$10)))</f>
        <v>0.32148806946720293</v>
      </c>
      <c r="L34" s="247">
        <f>J34/SUM('1.3 Frota Total'!$C$19:$F$25)</f>
        <v>1769.5851515151517</v>
      </c>
      <c r="M34" s="248">
        <f t="shared" ref="M34:M39" si="3">J34/$J$46</f>
        <v>5.1102122456068454E-2</v>
      </c>
      <c r="N34" s="238">
        <f t="shared" ref="N34:N39" si="4">J34/$J$63</f>
        <v>2.9043276475922475E-2</v>
      </c>
      <c r="O34" s="146"/>
      <c r="P34" s="146"/>
      <c r="Q34" s="146"/>
      <c r="R34" s="146"/>
      <c r="S34" s="146"/>
      <c r="T34" s="146"/>
      <c r="U34" s="146"/>
      <c r="V34" s="146"/>
      <c r="W34" s="146"/>
      <c r="X34" s="146"/>
      <c r="Y34" s="146"/>
      <c r="Z34" s="146"/>
    </row>
    <row r="35" spans="1:26" x14ac:dyDescent="0.2">
      <c r="A35" s="146"/>
      <c r="B35" s="629" t="s">
        <v>926</v>
      </c>
      <c r="C35" s="630"/>
      <c r="D35" s="630"/>
      <c r="E35" s="630"/>
      <c r="F35" s="630"/>
      <c r="G35" s="630"/>
      <c r="H35" s="630"/>
      <c r="I35" s="630"/>
      <c r="J35" s="247">
        <f>'2.2 Custo Fixo'!H12</f>
        <v>26586.603699499999</v>
      </c>
      <c r="K35" s="247">
        <f>J35/(IF('1.2. KM programada'!$D$7="x",SUM('1.2. KM programada'!$Q$16:$S$115),IF('1.2. KM programada'!$D$7="X",SUM('1.2. KM programada'!$Q$16:$S$115),'1.2. KM programada'!$D$10)))</f>
        <v>0.1150024166980271</v>
      </c>
      <c r="L35" s="247">
        <f>J35/SUM('1.3 Frota Total'!$C$19:$F$25)</f>
        <v>633.01437379761899</v>
      </c>
      <c r="M35" s="248">
        <f t="shared" si="3"/>
        <v>1.8280204271922229E-2</v>
      </c>
      <c r="N35" s="238">
        <f t="shared" si="4"/>
        <v>1.0389334164392014E-2</v>
      </c>
      <c r="O35" s="146"/>
      <c r="P35" s="146"/>
      <c r="Q35" s="146"/>
      <c r="R35" s="146"/>
      <c r="S35" s="146"/>
      <c r="T35" s="146"/>
      <c r="U35" s="146"/>
      <c r="V35" s="146"/>
      <c r="W35" s="146"/>
      <c r="X35" s="146"/>
      <c r="Y35" s="146"/>
      <c r="Z35" s="146"/>
    </row>
    <row r="36" spans="1:26" x14ac:dyDescent="0.2">
      <c r="A36" s="146"/>
      <c r="B36" s="629" t="s">
        <v>927</v>
      </c>
      <c r="C36" s="630"/>
      <c r="D36" s="630"/>
      <c r="E36" s="630"/>
      <c r="F36" s="630"/>
      <c r="G36" s="630"/>
      <c r="H36" s="630"/>
      <c r="I36" s="630"/>
      <c r="J36" s="247">
        <f>'2.2 Custo Fixo'!H13</f>
        <v>3086.2719999999995</v>
      </c>
      <c r="K36" s="247">
        <f>J36/(IF('1.2. KM programada'!$D$7="x",SUM('1.2. KM programada'!$Q$16:$S$115),IF('1.2. KM programada'!$D$7="X",SUM('1.2. KM programada'!$Q$16:$S$115),'1.2. KM programada'!$D$10)))</f>
        <v>1.3349908946592092E-2</v>
      </c>
      <c r="L36" s="247">
        <f>J36/SUM('1.3 Frota Total'!$C$19:$F$25)</f>
        <v>73.48266666666666</v>
      </c>
      <c r="M36" s="248">
        <f t="shared" si="3"/>
        <v>2.1220342107771731E-3</v>
      </c>
      <c r="N36" s="238">
        <f t="shared" si="4"/>
        <v>1.2060326129888295E-3</v>
      </c>
      <c r="O36" s="146"/>
      <c r="P36" s="146"/>
      <c r="Q36" s="146"/>
      <c r="R36" s="146"/>
      <c r="S36" s="146"/>
      <c r="T36" s="146"/>
      <c r="U36" s="146"/>
      <c r="V36" s="146"/>
      <c r="W36" s="146"/>
      <c r="X36" s="146"/>
      <c r="Y36" s="146"/>
      <c r="Z36" s="146"/>
    </row>
    <row r="37" spans="1:26" x14ac:dyDescent="0.2">
      <c r="A37" s="146"/>
      <c r="B37" s="629" t="s">
        <v>928</v>
      </c>
      <c r="C37" s="630"/>
      <c r="D37" s="630"/>
      <c r="E37" s="630"/>
      <c r="F37" s="630"/>
      <c r="G37" s="630"/>
      <c r="H37" s="630"/>
      <c r="I37" s="630"/>
      <c r="J37" s="247">
        <f>'2.2 Custo Fixo'!H14</f>
        <v>0</v>
      </c>
      <c r="K37" s="247">
        <f>J37/(IF('1.2. KM programada'!$D$7="x",SUM('1.2. KM programada'!$Q$16:$S$115),IF('1.2. KM programada'!$D$7="X",SUM('1.2. KM programada'!$Q$16:$S$115),'1.2. KM programada'!$D$10)))</f>
        <v>0</v>
      </c>
      <c r="L37" s="247">
        <f>J37/SUM('1.3 Frota Total'!$C$19:$F$25)</f>
        <v>0</v>
      </c>
      <c r="M37" s="248">
        <f t="shared" si="3"/>
        <v>0</v>
      </c>
      <c r="N37" s="238">
        <f t="shared" si="4"/>
        <v>0</v>
      </c>
      <c r="O37" s="146"/>
      <c r="P37" s="146"/>
      <c r="Q37" s="146"/>
      <c r="R37" s="146"/>
      <c r="S37" s="146"/>
      <c r="T37" s="146"/>
      <c r="U37" s="146"/>
      <c r="V37" s="146"/>
      <c r="W37" s="146"/>
      <c r="X37" s="146"/>
      <c r="Y37" s="146"/>
      <c r="Z37" s="146"/>
    </row>
    <row r="38" spans="1:26" x14ac:dyDescent="0.2">
      <c r="A38" s="146"/>
      <c r="B38" s="629" t="s">
        <v>929</v>
      </c>
      <c r="C38" s="630"/>
      <c r="D38" s="630"/>
      <c r="E38" s="630"/>
      <c r="F38" s="630"/>
      <c r="G38" s="630"/>
      <c r="H38" s="630"/>
      <c r="I38" s="630"/>
      <c r="J38" s="247">
        <f>'2.2 Custo Fixo'!H15</f>
        <v>2323.9999999999995</v>
      </c>
      <c r="K38" s="247">
        <f>J38/(IF('1.2. KM programada'!$D$7="x",SUM('1.2. KM programada'!$Q$16:$S$115),IF('1.2. KM programada'!$D$7="X",SUM('1.2. KM programada'!$Q$16:$S$115),'1.2. KM programada'!$D$10)))</f>
        <v>1.005264227906031E-2</v>
      </c>
      <c r="L38" s="247">
        <f>J38/SUM('1.3 Frota Total'!$C$19:$F$25)</f>
        <v>55.333333333333321</v>
      </c>
      <c r="M38" s="248">
        <f t="shared" si="3"/>
        <v>1.5979173273924494E-3</v>
      </c>
      <c r="N38" s="238">
        <f t="shared" si="4"/>
        <v>9.0815708809399817E-4</v>
      </c>
      <c r="O38" s="146"/>
      <c r="P38" s="146"/>
      <c r="Q38" s="146"/>
      <c r="R38" s="146"/>
      <c r="S38" s="146"/>
      <c r="T38" s="146"/>
      <c r="U38" s="146"/>
      <c r="V38" s="146"/>
      <c r="W38" s="146"/>
      <c r="X38" s="146"/>
      <c r="Y38" s="146"/>
      <c r="Z38" s="146"/>
    </row>
    <row r="39" spans="1:26" x14ac:dyDescent="0.2">
      <c r="A39" s="146"/>
      <c r="B39" s="629" t="s">
        <v>930</v>
      </c>
      <c r="C39" s="630"/>
      <c r="D39" s="630"/>
      <c r="E39" s="630"/>
      <c r="F39" s="630"/>
      <c r="G39" s="630"/>
      <c r="H39" s="630"/>
      <c r="I39" s="630"/>
      <c r="J39" s="247">
        <f>'2.2 Custo Fixo'!H16</f>
        <v>5073.8729999999996</v>
      </c>
      <c r="K39" s="247">
        <f>J39/(IF('1.2. KM programada'!$D$7="x",SUM('1.2. KM programada'!$Q$16:$S$115),IF('1.2. KM programada'!$D$7="X",SUM('1.2. KM programada'!$Q$16:$S$115),'1.2. KM programada'!$D$10)))</f>
        <v>2.1947431255758425E-2</v>
      </c>
      <c r="L39" s="247">
        <f>J39/SUM('1.3 Frota Total'!$C$19:$F$25)</f>
        <v>120.80649999999999</v>
      </c>
      <c r="M39" s="248">
        <f t="shared" si="3"/>
        <v>3.4886530050295657E-3</v>
      </c>
      <c r="N39" s="238">
        <f t="shared" si="4"/>
        <v>1.9827339625812217E-3</v>
      </c>
      <c r="O39" s="146"/>
      <c r="P39" s="146"/>
      <c r="Q39" s="146"/>
      <c r="R39" s="146"/>
      <c r="S39" s="146"/>
      <c r="T39" s="146"/>
      <c r="U39" s="146"/>
      <c r="V39" s="146"/>
      <c r="W39" s="146"/>
      <c r="X39" s="146"/>
      <c r="Y39" s="146"/>
      <c r="Z39" s="146"/>
    </row>
    <row r="40" spans="1:26" x14ac:dyDescent="0.2">
      <c r="A40" s="146"/>
      <c r="B40" s="631" t="s">
        <v>396</v>
      </c>
      <c r="C40" s="632"/>
      <c r="D40" s="632"/>
      <c r="E40" s="632"/>
      <c r="F40" s="632"/>
      <c r="G40" s="632"/>
      <c r="H40" s="632"/>
      <c r="I40" s="632"/>
      <c r="J40" s="249">
        <f>SUM(J34:J39)</f>
        <v>111393.32506313638</v>
      </c>
      <c r="K40" s="249">
        <f>SUM(K34:K39)</f>
        <v>0.48184046864664087</v>
      </c>
      <c r="L40" s="249">
        <f>SUM(L34:L39)</f>
        <v>2652.2220253127712</v>
      </c>
      <c r="M40" s="250">
        <f>SUM(M34:M39)</f>
        <v>7.6590931271189877E-2</v>
      </c>
      <c r="N40" s="238">
        <f>J40/$J$63</f>
        <v>4.3529534303978545E-2</v>
      </c>
      <c r="O40" s="146"/>
      <c r="P40" s="146"/>
      <c r="Q40" s="146"/>
      <c r="R40" s="146"/>
      <c r="S40" s="146"/>
      <c r="T40" s="146"/>
      <c r="U40" s="146"/>
      <c r="V40" s="146"/>
      <c r="W40" s="146"/>
      <c r="X40" s="146"/>
      <c r="Y40" s="146"/>
      <c r="Z40" s="146"/>
    </row>
    <row r="41" spans="1:26" x14ac:dyDescent="0.2">
      <c r="A41" s="146"/>
      <c r="B41" s="258" t="s">
        <v>425</v>
      </c>
      <c r="C41" s="259"/>
      <c r="D41" s="259"/>
      <c r="E41" s="259"/>
      <c r="F41" s="259"/>
      <c r="G41" s="259"/>
      <c r="H41" s="259"/>
      <c r="I41" s="259"/>
      <c r="J41" s="260"/>
      <c r="K41" s="260"/>
      <c r="L41" s="260"/>
      <c r="M41" s="260"/>
      <c r="N41" s="235"/>
      <c r="O41" s="146"/>
      <c r="P41" s="146"/>
      <c r="Q41" s="146"/>
      <c r="R41" s="146"/>
      <c r="S41" s="146"/>
      <c r="T41" s="146"/>
      <c r="U41" s="146"/>
      <c r="V41" s="146"/>
      <c r="W41" s="146"/>
      <c r="X41" s="146"/>
      <c r="Y41" s="146"/>
      <c r="Z41" s="146"/>
    </row>
    <row r="42" spans="1:26" x14ac:dyDescent="0.2">
      <c r="A42" s="146"/>
      <c r="B42" s="629" t="s">
        <v>931</v>
      </c>
      <c r="C42" s="630"/>
      <c r="D42" s="630"/>
      <c r="E42" s="630"/>
      <c r="F42" s="630"/>
      <c r="G42" s="630"/>
      <c r="H42" s="630"/>
      <c r="I42" s="630"/>
      <c r="J42" s="261">
        <f>'2.2 Custo Fixo'!H30</f>
        <v>36039.254999999997</v>
      </c>
      <c r="K42" s="261">
        <f>J42/(IF('1.2. KM programada'!$D$7="x",SUM('1.2. KM programada'!$Q$16:$S$115),IF('1.2. KM programada'!$D$7="X",SUM('1.2. KM programada'!$Q$16:$S$115),'1.2. KM programada'!$D$10)))</f>
        <v>0.15589059316645254</v>
      </c>
      <c r="L42" s="261">
        <f>J42/SUM('1.3 Frota Total'!$C$19:$F$25)</f>
        <v>858.07749999999999</v>
      </c>
      <c r="M42" s="262">
        <f>J42/$J$46</f>
        <v>2.4779582629438461E-2</v>
      </c>
      <c r="N42" s="238">
        <f>J42/$J$63</f>
        <v>1.4083177658294779E-2</v>
      </c>
      <c r="O42" s="146"/>
      <c r="P42" s="146"/>
      <c r="Q42" s="146"/>
      <c r="R42" s="146"/>
      <c r="S42" s="146"/>
      <c r="T42" s="146"/>
      <c r="U42" s="146"/>
      <c r="V42" s="146"/>
      <c r="W42" s="146"/>
      <c r="X42" s="146"/>
      <c r="Y42" s="146"/>
      <c r="Z42" s="146"/>
    </row>
    <row r="43" spans="1:26" ht="13.5" customHeight="1" x14ac:dyDescent="0.2">
      <c r="A43" s="146"/>
      <c r="B43" s="629" t="s">
        <v>932</v>
      </c>
      <c r="C43" s="630"/>
      <c r="D43" s="630"/>
      <c r="E43" s="630"/>
      <c r="F43" s="630"/>
      <c r="G43" s="630"/>
      <c r="H43" s="630"/>
      <c r="I43" s="630"/>
      <c r="J43" s="261">
        <f>'2.2 Custo Fixo'!H31</f>
        <v>0</v>
      </c>
      <c r="K43" s="261">
        <f>J43/(IF('1.2. KM programada'!$D$7="x",SUM('1.2. KM programada'!$Q$16:$S$115),IF('1.2. KM programada'!$D$7="X",SUM('1.2. KM programada'!$Q$16:$S$115),'1.2. KM programada'!$D$10)))</f>
        <v>0</v>
      </c>
      <c r="L43" s="261">
        <f>J43/SUM('1.3 Frota Total'!$C$19:$F$25)</f>
        <v>0</v>
      </c>
      <c r="M43" s="262">
        <f>J43/$J$46</f>
        <v>0</v>
      </c>
      <c r="N43" s="238">
        <f>J43/$J$63</f>
        <v>0</v>
      </c>
      <c r="O43" s="146"/>
      <c r="P43" s="146"/>
      <c r="Q43" s="146"/>
      <c r="R43" s="146"/>
      <c r="S43" s="146"/>
      <c r="T43" s="146"/>
      <c r="U43" s="146"/>
      <c r="V43" s="146"/>
      <c r="W43" s="146"/>
      <c r="X43" s="146"/>
      <c r="Y43" s="146"/>
      <c r="Z43" s="146"/>
    </row>
    <row r="44" spans="1:26" ht="13.5" customHeight="1" x14ac:dyDescent="0.2">
      <c r="A44" s="146"/>
      <c r="B44" s="635" t="s">
        <v>933</v>
      </c>
      <c r="C44" s="636"/>
      <c r="D44" s="636"/>
      <c r="E44" s="636"/>
      <c r="F44" s="636"/>
      <c r="G44" s="636"/>
      <c r="H44" s="636"/>
      <c r="I44" s="636"/>
      <c r="J44" s="261">
        <f>'2.2 Custo Fixo'!H32</f>
        <v>0</v>
      </c>
      <c r="K44" s="261">
        <f>J44/(IF('1.2. KM programada'!$D$7="x",SUM('1.2. KM programada'!$Q$16:$S$115),IF('1.2. KM programada'!$D$7="X",SUM('1.2. KM programada'!$Q$16:$S$115),'1.2. KM programada'!$D$10)))</f>
        <v>0</v>
      </c>
      <c r="L44" s="261">
        <f>J44/SUM('1.3 Frota Total'!$C$19:$F$25)</f>
        <v>0</v>
      </c>
      <c r="M44" s="262">
        <f>J44/$J$46</f>
        <v>0</v>
      </c>
      <c r="N44" s="238">
        <f>J44/$J$63</f>
        <v>0</v>
      </c>
      <c r="O44" s="146"/>
      <c r="P44" s="146"/>
      <c r="Q44" s="146"/>
      <c r="R44" s="146"/>
      <c r="S44" s="146"/>
      <c r="T44" s="146"/>
      <c r="U44" s="146"/>
      <c r="V44" s="146"/>
      <c r="W44" s="146"/>
      <c r="X44" s="146"/>
      <c r="Y44" s="146"/>
      <c r="Z44" s="146"/>
    </row>
    <row r="45" spans="1:26" ht="15.75" customHeight="1" x14ac:dyDescent="0.2">
      <c r="A45" s="146"/>
      <c r="B45" s="633" t="s">
        <v>396</v>
      </c>
      <c r="C45" s="634"/>
      <c r="D45" s="634"/>
      <c r="E45" s="634"/>
      <c r="F45" s="634"/>
      <c r="G45" s="634"/>
      <c r="H45" s="634"/>
      <c r="I45" s="634"/>
      <c r="J45" s="263">
        <f>SUM(J42:J44)</f>
        <v>36039.254999999997</v>
      </c>
      <c r="K45" s="263">
        <f>SUM(K42:K44)</f>
        <v>0.15589059316645254</v>
      </c>
      <c r="L45" s="263">
        <f>SUM(L42:L44)</f>
        <v>858.07749999999999</v>
      </c>
      <c r="M45" s="264">
        <f>SUM(M42:M44)</f>
        <v>2.4779582629438461E-2</v>
      </c>
      <c r="N45" s="238">
        <f>J45/$J$63</f>
        <v>1.4083177658294779E-2</v>
      </c>
      <c r="O45" s="146"/>
      <c r="P45" s="146"/>
      <c r="Q45" s="146"/>
      <c r="R45" s="146"/>
      <c r="S45" s="146"/>
      <c r="T45" s="146"/>
      <c r="U45" s="146"/>
      <c r="V45" s="146"/>
      <c r="W45" s="146"/>
      <c r="X45" s="146"/>
      <c r="Y45" s="146"/>
      <c r="Z45" s="146"/>
    </row>
    <row r="46" spans="1:26" x14ac:dyDescent="0.2">
      <c r="A46" s="146"/>
      <c r="B46" s="637" t="s">
        <v>877</v>
      </c>
      <c r="C46" s="638"/>
      <c r="D46" s="638"/>
      <c r="E46" s="638"/>
      <c r="F46" s="638"/>
      <c r="G46" s="638"/>
      <c r="H46" s="638"/>
      <c r="I46" s="638"/>
      <c r="J46" s="265">
        <f>J17+J24+J32+J40+J45</f>
        <v>1454393.1404714179</v>
      </c>
      <c r="K46" s="266">
        <f>K17+K24+K32+K40+K45</f>
        <v>6.2892022357674131</v>
      </c>
      <c r="L46" s="266">
        <f>L17+L24+L32+L40+L45</f>
        <v>34628.408106462331</v>
      </c>
      <c r="M46" s="267">
        <f>M17+M24+M32+M40+M45</f>
        <v>1</v>
      </c>
      <c r="N46" s="268">
        <f>J46/$J$63</f>
        <v>0.5683379687583513</v>
      </c>
      <c r="O46" s="146"/>
      <c r="P46" s="146"/>
      <c r="Q46" s="146"/>
      <c r="R46" s="146"/>
      <c r="S46" s="146"/>
      <c r="T46" s="146"/>
      <c r="U46" s="146"/>
      <c r="V46" s="146"/>
      <c r="W46" s="146"/>
      <c r="X46" s="146"/>
      <c r="Y46" s="146"/>
      <c r="Z46" s="146"/>
    </row>
    <row r="47" spans="1:26" x14ac:dyDescent="0.2">
      <c r="A47" s="146"/>
      <c r="B47" s="269"/>
      <c r="C47" s="269"/>
      <c r="D47" s="269"/>
      <c r="E47" s="269"/>
      <c r="F47" s="269"/>
      <c r="G47" s="269"/>
      <c r="H47" s="269"/>
      <c r="I47" s="269"/>
      <c r="J47" s="230"/>
      <c r="K47" s="230"/>
      <c r="L47" s="230"/>
      <c r="M47" s="230"/>
      <c r="N47" s="235"/>
      <c r="O47" s="146"/>
      <c r="P47" s="146"/>
      <c r="Q47" s="146"/>
      <c r="R47" s="146"/>
      <c r="S47" s="146"/>
      <c r="T47" s="146"/>
      <c r="U47" s="146"/>
      <c r="V47" s="146"/>
      <c r="W47" s="146"/>
      <c r="X47" s="146"/>
      <c r="Y47" s="146"/>
      <c r="Z47" s="146"/>
    </row>
    <row r="48" spans="1:26" x14ac:dyDescent="0.2">
      <c r="A48" s="146"/>
      <c r="B48" s="641" t="s">
        <v>866</v>
      </c>
      <c r="C48" s="642"/>
      <c r="D48" s="642"/>
      <c r="E48" s="642"/>
      <c r="F48" s="642"/>
      <c r="G48" s="642"/>
      <c r="H48" s="642"/>
      <c r="I48" s="642"/>
      <c r="J48" s="265">
        <f>J46+J12</f>
        <v>2245201.2548504267</v>
      </c>
      <c r="K48" s="265">
        <f>K46+K12</f>
        <v>9.7099040796703342</v>
      </c>
      <c r="L48" s="265">
        <f>L46+L12</f>
        <v>53457.172734533968</v>
      </c>
      <c r="M48" s="89"/>
      <c r="N48" s="238">
        <f>J48/$J$63</f>
        <v>0.87736464448793228</v>
      </c>
      <c r="O48" s="146"/>
      <c r="P48" s="146"/>
      <c r="Q48" s="146"/>
      <c r="R48" s="146"/>
      <c r="S48" s="146"/>
      <c r="T48" s="146"/>
      <c r="U48" s="146"/>
      <c r="V48" s="146"/>
      <c r="W48" s="146"/>
      <c r="X48" s="146"/>
      <c r="Y48" s="146"/>
      <c r="Z48" s="146"/>
    </row>
    <row r="49" spans="1:26" x14ac:dyDescent="0.2">
      <c r="A49" s="146"/>
      <c r="B49" s="269"/>
      <c r="C49" s="269"/>
      <c r="D49" s="269"/>
      <c r="E49" s="269"/>
      <c r="F49" s="269"/>
      <c r="G49" s="269"/>
      <c r="H49" s="269"/>
      <c r="I49" s="269"/>
      <c r="J49" s="230"/>
      <c r="K49" s="230"/>
      <c r="L49" s="230"/>
      <c r="M49" s="230"/>
      <c r="N49" s="235"/>
      <c r="O49" s="146"/>
      <c r="P49" s="146"/>
      <c r="Q49" s="146"/>
      <c r="R49" s="146"/>
      <c r="S49" s="146"/>
      <c r="T49" s="146"/>
      <c r="U49" s="146"/>
      <c r="V49" s="146"/>
      <c r="W49" s="146"/>
      <c r="X49" s="146"/>
      <c r="Y49" s="146"/>
      <c r="Z49" s="146"/>
    </row>
    <row r="50" spans="1:26" x14ac:dyDescent="0.2">
      <c r="A50" s="146"/>
      <c r="B50" s="627" t="s">
        <v>388</v>
      </c>
      <c r="C50" s="628"/>
      <c r="D50" s="628"/>
      <c r="E50" s="628"/>
      <c r="F50" s="628"/>
      <c r="G50" s="628"/>
      <c r="H50" s="628"/>
      <c r="I50" s="628"/>
      <c r="J50" s="270">
        <f>'4. Custo Total'!H7</f>
        <v>164124.21172956619</v>
      </c>
      <c r="K50" s="270">
        <f>J50/(IF('1.2. KM programada'!$D$7="x",SUM('1.2. KM programada'!$Q$16:$S$115),IF('1.2. KM programada'!$D$7="X",SUM('1.2. KM programada'!$Q$16:$S$115),'1.2. KM programada'!$D$10)))</f>
        <v>0.70993200940192913</v>
      </c>
      <c r="L50" s="270">
        <f>J50/SUM('1.3 Frota Total'!$C$19:$F$25)</f>
        <v>3907.7193268944329</v>
      </c>
      <c r="M50" s="89"/>
      <c r="N50" s="238">
        <f>J50/$J$63</f>
        <v>6.4135355512067851E-2</v>
      </c>
      <c r="O50" s="146"/>
      <c r="P50" s="146"/>
      <c r="Q50" s="146"/>
      <c r="R50" s="146"/>
      <c r="S50" s="146"/>
      <c r="T50" s="146"/>
      <c r="U50" s="146"/>
      <c r="V50" s="146"/>
      <c r="W50" s="146"/>
      <c r="X50" s="146"/>
      <c r="Y50" s="146"/>
      <c r="Z50" s="146"/>
    </row>
    <row r="51" spans="1:26" x14ac:dyDescent="0.2">
      <c r="A51" s="146"/>
      <c r="B51" s="230"/>
      <c r="C51" s="230"/>
      <c r="D51" s="230"/>
      <c r="E51" s="230"/>
      <c r="F51" s="230"/>
      <c r="G51" s="230"/>
      <c r="H51" s="230"/>
      <c r="I51" s="230"/>
      <c r="J51" s="230"/>
      <c r="K51" s="230"/>
      <c r="L51" s="230"/>
      <c r="M51" s="230"/>
      <c r="N51" s="235"/>
      <c r="O51" s="146"/>
      <c r="P51" s="146"/>
      <c r="Q51" s="146"/>
      <c r="R51" s="146"/>
      <c r="S51" s="146"/>
      <c r="T51" s="146"/>
      <c r="U51" s="146"/>
      <c r="V51" s="146"/>
      <c r="W51" s="146"/>
      <c r="X51" s="146"/>
      <c r="Y51" s="146"/>
      <c r="Z51" s="146"/>
    </row>
    <row r="52" spans="1:26" x14ac:dyDescent="0.2">
      <c r="A52" s="146"/>
      <c r="B52" s="644" t="s">
        <v>878</v>
      </c>
      <c r="C52" s="645"/>
      <c r="D52" s="645"/>
      <c r="E52" s="645"/>
      <c r="F52" s="645"/>
      <c r="G52" s="645"/>
      <c r="H52" s="645"/>
      <c r="I52" s="645"/>
      <c r="J52" s="645"/>
      <c r="K52" s="645"/>
      <c r="L52" s="645"/>
      <c r="M52" s="645"/>
      <c r="N52" s="235"/>
      <c r="O52" s="146"/>
      <c r="P52" s="146"/>
      <c r="Q52" s="146"/>
      <c r="R52" s="146"/>
      <c r="S52" s="146"/>
      <c r="T52" s="146"/>
      <c r="U52" s="146"/>
      <c r="V52" s="146"/>
      <c r="W52" s="146"/>
      <c r="X52" s="146"/>
      <c r="Y52" s="146"/>
      <c r="Z52" s="146"/>
    </row>
    <row r="53" spans="1:26" x14ac:dyDescent="0.2">
      <c r="A53" s="146"/>
      <c r="B53" s="646" t="s">
        <v>389</v>
      </c>
      <c r="C53" s="647"/>
      <c r="D53" s="647"/>
      <c r="E53" s="647"/>
      <c r="F53" s="647"/>
      <c r="G53" s="647"/>
      <c r="H53" s="647"/>
      <c r="I53" s="647"/>
      <c r="J53" s="647"/>
      <c r="K53" s="647"/>
      <c r="L53" s="647"/>
      <c r="M53" s="271">
        <f>'2.1.c Insumos'!F100/100</f>
        <v>0.02</v>
      </c>
      <c r="N53" s="238">
        <f>J53/$J$63</f>
        <v>0</v>
      </c>
      <c r="O53" s="146"/>
      <c r="P53" s="146"/>
      <c r="Q53" s="146"/>
      <c r="R53" s="146"/>
      <c r="S53" s="146"/>
      <c r="T53" s="146"/>
      <c r="U53" s="146"/>
      <c r="V53" s="146"/>
      <c r="W53" s="146"/>
      <c r="X53" s="146"/>
      <c r="Y53" s="146"/>
      <c r="Z53" s="146"/>
    </row>
    <row r="54" spans="1:26" x14ac:dyDescent="0.2">
      <c r="A54" s="146"/>
      <c r="B54" s="625" t="s">
        <v>390</v>
      </c>
      <c r="C54" s="626"/>
      <c r="D54" s="626"/>
      <c r="E54" s="626"/>
      <c r="F54" s="626"/>
      <c r="G54" s="626"/>
      <c r="H54" s="626"/>
      <c r="I54" s="626"/>
      <c r="J54" s="626"/>
      <c r="K54" s="626"/>
      <c r="L54" s="626"/>
      <c r="M54" s="271">
        <f>'2.1.c Insumos'!F96/100</f>
        <v>0.03</v>
      </c>
      <c r="N54" s="238">
        <f t="shared" ref="N54:N59" si="5">J54/$J$63</f>
        <v>0</v>
      </c>
      <c r="O54" s="146"/>
      <c r="P54" s="146"/>
      <c r="Q54" s="146"/>
      <c r="R54" s="146"/>
      <c r="S54" s="146"/>
      <c r="T54" s="146"/>
      <c r="U54" s="146"/>
      <c r="V54" s="146"/>
      <c r="W54" s="146"/>
      <c r="X54" s="146"/>
      <c r="Y54" s="146"/>
      <c r="Z54" s="146"/>
    </row>
    <row r="55" spans="1:26" x14ac:dyDescent="0.2">
      <c r="A55" s="146"/>
      <c r="B55" s="625" t="s">
        <v>391</v>
      </c>
      <c r="C55" s="626"/>
      <c r="D55" s="626"/>
      <c r="E55" s="626"/>
      <c r="F55" s="626"/>
      <c r="G55" s="626"/>
      <c r="H55" s="626"/>
      <c r="I55" s="626"/>
      <c r="J55" s="626"/>
      <c r="K55" s="626"/>
      <c r="L55" s="626"/>
      <c r="M55" s="271">
        <f>'2.1.c Insumos'!F101/100</f>
        <v>0</v>
      </c>
      <c r="N55" s="238">
        <f t="shared" si="5"/>
        <v>0</v>
      </c>
      <c r="O55" s="146"/>
      <c r="P55" s="146"/>
      <c r="Q55" s="146"/>
      <c r="R55" s="146"/>
      <c r="S55" s="146"/>
      <c r="T55" s="146"/>
      <c r="U55" s="146"/>
      <c r="V55" s="146"/>
      <c r="W55" s="146"/>
      <c r="X55" s="146"/>
      <c r="Y55" s="146"/>
      <c r="Z55" s="146"/>
    </row>
    <row r="56" spans="1:26" x14ac:dyDescent="0.2">
      <c r="A56" s="146"/>
      <c r="B56" s="625" t="s">
        <v>392</v>
      </c>
      <c r="C56" s="626"/>
      <c r="D56" s="626"/>
      <c r="E56" s="626"/>
      <c r="F56" s="626"/>
      <c r="G56" s="626"/>
      <c r="H56" s="626"/>
      <c r="I56" s="626"/>
      <c r="J56" s="626"/>
      <c r="K56" s="626"/>
      <c r="L56" s="626"/>
      <c r="M56" s="271">
        <f>'2.1.c Insumos'!F99/100</f>
        <v>8.5000000000000006E-3</v>
      </c>
      <c r="N56" s="238">
        <f>J56/$J$63</f>
        <v>0</v>
      </c>
      <c r="O56" s="146"/>
      <c r="P56" s="146"/>
      <c r="Q56" s="146"/>
      <c r="R56" s="146"/>
      <c r="S56" s="146"/>
      <c r="T56" s="146"/>
      <c r="U56" s="146"/>
      <c r="V56" s="146"/>
      <c r="W56" s="146"/>
      <c r="X56" s="146"/>
      <c r="Y56" s="146"/>
      <c r="Z56" s="146"/>
    </row>
    <row r="57" spans="1:26" x14ac:dyDescent="0.2">
      <c r="A57" s="146"/>
      <c r="B57" s="625" t="s">
        <v>393</v>
      </c>
      <c r="C57" s="626"/>
      <c r="D57" s="626"/>
      <c r="E57" s="626"/>
      <c r="F57" s="626"/>
      <c r="G57" s="626"/>
      <c r="H57" s="626"/>
      <c r="I57" s="626"/>
      <c r="J57" s="626"/>
      <c r="K57" s="626"/>
      <c r="L57" s="626"/>
      <c r="M57" s="271">
        <f>'2.1.c Insumos'!F97/100</f>
        <v>0</v>
      </c>
      <c r="N57" s="238">
        <f t="shared" si="5"/>
        <v>0</v>
      </c>
      <c r="O57" s="146"/>
      <c r="P57" s="146"/>
      <c r="Q57" s="146"/>
      <c r="R57" s="146"/>
      <c r="S57" s="146"/>
      <c r="T57" s="146"/>
      <c r="U57" s="146"/>
      <c r="V57" s="146"/>
      <c r="W57" s="146"/>
      <c r="X57" s="146"/>
      <c r="Y57" s="146"/>
      <c r="Z57" s="146"/>
    </row>
    <row r="58" spans="1:26" x14ac:dyDescent="0.2">
      <c r="A58" s="146"/>
      <c r="B58" s="625" t="s">
        <v>880</v>
      </c>
      <c r="C58" s="626"/>
      <c r="D58" s="626"/>
      <c r="E58" s="626"/>
      <c r="F58" s="626"/>
      <c r="G58" s="626"/>
      <c r="H58" s="626"/>
      <c r="I58" s="626"/>
      <c r="J58" s="626"/>
      <c r="K58" s="626"/>
      <c r="L58" s="626"/>
      <c r="M58" s="271">
        <f>'2.1.c Insumos'!F98/100</f>
        <v>0</v>
      </c>
      <c r="N58" s="238">
        <f t="shared" si="5"/>
        <v>0</v>
      </c>
      <c r="O58" s="146"/>
      <c r="P58" s="146"/>
      <c r="Q58" s="146"/>
      <c r="R58" s="146"/>
      <c r="S58" s="146"/>
      <c r="T58" s="146"/>
      <c r="U58" s="146"/>
      <c r="V58" s="146"/>
      <c r="W58" s="146"/>
      <c r="X58" s="146"/>
      <c r="Y58" s="146"/>
      <c r="Z58" s="146"/>
    </row>
    <row r="59" spans="1:26" x14ac:dyDescent="0.2">
      <c r="A59" s="146"/>
      <c r="B59" s="639" t="s">
        <v>394</v>
      </c>
      <c r="C59" s="640"/>
      <c r="D59" s="640"/>
      <c r="E59" s="640"/>
      <c r="F59" s="640"/>
      <c r="G59" s="640"/>
      <c r="H59" s="640"/>
      <c r="I59" s="640"/>
      <c r="J59" s="640"/>
      <c r="K59" s="640"/>
      <c r="L59" s="640"/>
      <c r="M59" s="272">
        <f>'2.1.c Insumos'!F102/100</f>
        <v>0</v>
      </c>
      <c r="N59" s="273">
        <f t="shared" si="5"/>
        <v>0</v>
      </c>
      <c r="O59" s="146"/>
      <c r="P59" s="146"/>
      <c r="Q59" s="146"/>
      <c r="R59" s="146"/>
      <c r="S59" s="146"/>
      <c r="T59" s="146"/>
      <c r="U59" s="146"/>
      <c r="V59" s="146"/>
      <c r="W59" s="146"/>
      <c r="X59" s="146"/>
      <c r="Y59" s="146"/>
      <c r="Z59" s="146"/>
    </row>
    <row r="60" spans="1:26" x14ac:dyDescent="0.2">
      <c r="A60" s="146"/>
      <c r="B60" s="656" t="s">
        <v>838</v>
      </c>
      <c r="C60" s="657"/>
      <c r="D60" s="657"/>
      <c r="E60" s="657"/>
      <c r="F60" s="657"/>
      <c r="G60" s="657"/>
      <c r="H60" s="657"/>
      <c r="I60" s="657"/>
      <c r="J60" s="657"/>
      <c r="K60" s="657"/>
      <c r="L60" s="658"/>
      <c r="M60" s="274">
        <f>SUM(M53:M59)</f>
        <v>5.8500000000000003E-2</v>
      </c>
      <c r="N60" s="229"/>
      <c r="O60" s="146"/>
      <c r="P60" s="146"/>
      <c r="Q60" s="146"/>
      <c r="R60" s="146"/>
      <c r="S60" s="146"/>
      <c r="T60" s="146"/>
      <c r="U60" s="146"/>
      <c r="V60" s="146"/>
      <c r="W60" s="146"/>
      <c r="X60" s="146"/>
      <c r="Y60" s="146"/>
      <c r="Z60" s="146"/>
    </row>
    <row r="61" spans="1:26" x14ac:dyDescent="0.2">
      <c r="A61" s="146"/>
      <c r="B61" s="641" t="s">
        <v>879</v>
      </c>
      <c r="C61" s="642"/>
      <c r="D61" s="642"/>
      <c r="E61" s="642"/>
      <c r="F61" s="642"/>
      <c r="G61" s="642"/>
      <c r="H61" s="642"/>
      <c r="I61" s="643"/>
      <c r="J61" s="265">
        <f>(J48+J50)*(1/(1-$M$60)-1)</f>
        <v>149703.17556551201</v>
      </c>
      <c r="K61" s="265">
        <f>(K48+K50)*$M$60</f>
        <v>0.60956041121072735</v>
      </c>
      <c r="L61" s="265">
        <f>(L48+L50)*$M$60</f>
        <v>3355.8461855935616</v>
      </c>
      <c r="M61" s="89"/>
      <c r="N61" s="229">
        <f>J61/$J$63</f>
        <v>5.849999999999999E-2</v>
      </c>
      <c r="O61" s="146"/>
      <c r="P61" s="146"/>
      <c r="Q61" s="146"/>
      <c r="R61" s="146"/>
      <c r="S61" s="146"/>
      <c r="T61" s="146"/>
      <c r="U61" s="146"/>
      <c r="V61" s="146"/>
      <c r="W61" s="146"/>
      <c r="X61" s="146"/>
      <c r="Y61" s="146"/>
      <c r="Z61" s="146"/>
    </row>
    <row r="62" spans="1:26" x14ac:dyDescent="0.2">
      <c r="A62" s="146"/>
      <c r="B62" s="230"/>
      <c r="C62" s="230"/>
      <c r="D62" s="230"/>
      <c r="E62" s="230"/>
      <c r="F62" s="230"/>
      <c r="G62" s="230"/>
      <c r="H62" s="230"/>
      <c r="I62" s="230"/>
      <c r="J62" s="230"/>
      <c r="K62" s="230"/>
      <c r="L62" s="230"/>
      <c r="M62" s="230"/>
      <c r="N62" s="229"/>
      <c r="O62" s="146"/>
      <c r="P62" s="275"/>
      <c r="Q62" s="146"/>
      <c r="R62" s="146"/>
      <c r="S62" s="146"/>
      <c r="T62" s="146"/>
      <c r="U62" s="146"/>
      <c r="V62" s="146"/>
      <c r="W62" s="146"/>
      <c r="X62" s="146"/>
      <c r="Y62" s="146"/>
      <c r="Z62" s="146"/>
    </row>
    <row r="63" spans="1:26" x14ac:dyDescent="0.2">
      <c r="A63" s="146"/>
      <c r="B63" s="622" t="s">
        <v>842</v>
      </c>
      <c r="C63" s="623"/>
      <c r="D63" s="623"/>
      <c r="E63" s="623"/>
      <c r="F63" s="623"/>
      <c r="G63" s="623"/>
      <c r="H63" s="623"/>
      <c r="I63" s="624"/>
      <c r="J63" s="276">
        <f>(J12+J46+J50)/(1-M60)</f>
        <v>2559028.6421455047</v>
      </c>
      <c r="K63" s="276">
        <f>K61+K50+K48</f>
        <v>11.02939650028299</v>
      </c>
      <c r="L63" s="276">
        <f>L61+L50+L48</f>
        <v>60720.73824702196</v>
      </c>
      <c r="M63" s="89"/>
      <c r="N63" s="229"/>
      <c r="O63" s="146"/>
      <c r="P63" s="146"/>
      <c r="Q63" s="146"/>
      <c r="R63" s="146"/>
      <c r="S63" s="146"/>
      <c r="T63" s="146"/>
      <c r="U63" s="146"/>
      <c r="V63" s="146"/>
      <c r="W63" s="146"/>
      <c r="X63" s="146"/>
      <c r="Y63" s="146"/>
      <c r="Z63" s="146"/>
    </row>
    <row r="64" spans="1:26" x14ac:dyDescent="0.2">
      <c r="P64" s="278"/>
      <c r="U64" s="146"/>
      <c r="V64" s="146"/>
      <c r="W64" s="146"/>
      <c r="X64" s="146"/>
      <c r="Y64" s="146"/>
      <c r="Z64" s="146"/>
    </row>
    <row r="65" spans="10:10" x14ac:dyDescent="0.2">
      <c r="J65" s="226"/>
    </row>
    <row r="66" spans="10:10" x14ac:dyDescent="0.2">
      <c r="J66" s="226"/>
    </row>
  </sheetData>
  <mergeCells count="50">
    <mergeCell ref="B60:L60"/>
    <mergeCell ref="B42:I42"/>
    <mergeCell ref="B35:I35"/>
    <mergeCell ref="B28:I28"/>
    <mergeCell ref="S8:T8"/>
    <mergeCell ref="B17:I17"/>
    <mergeCell ref="B15:I15"/>
    <mergeCell ref="B9:I9"/>
    <mergeCell ref="B8:I8"/>
    <mergeCell ref="B24:I24"/>
    <mergeCell ref="B22:I22"/>
    <mergeCell ref="B11:I11"/>
    <mergeCell ref="B21:I21"/>
    <mergeCell ref="B37:I37"/>
    <mergeCell ref="B43:I43"/>
    <mergeCell ref="B16:I16"/>
    <mergeCell ref="B2:M2"/>
    <mergeCell ref="B4:I4"/>
    <mergeCell ref="B12:I12"/>
    <mergeCell ref="B6:I6"/>
    <mergeCell ref="B7:I7"/>
    <mergeCell ref="B10:I10"/>
    <mergeCell ref="B36:I36"/>
    <mergeCell ref="B48:I48"/>
    <mergeCell ref="B29:I29"/>
    <mergeCell ref="B30:I30"/>
    <mergeCell ref="B27:I27"/>
    <mergeCell ref="B34:I34"/>
    <mergeCell ref="B39:I39"/>
    <mergeCell ref="B26:I26"/>
    <mergeCell ref="B23:I23"/>
    <mergeCell ref="B19:I19"/>
    <mergeCell ref="B20:I20"/>
    <mergeCell ref="B32:I32"/>
    <mergeCell ref="B63:I63"/>
    <mergeCell ref="B55:L55"/>
    <mergeCell ref="B50:I50"/>
    <mergeCell ref="B38:I38"/>
    <mergeCell ref="B40:I40"/>
    <mergeCell ref="B57:L57"/>
    <mergeCell ref="B45:I45"/>
    <mergeCell ref="B44:I44"/>
    <mergeCell ref="B46:I46"/>
    <mergeCell ref="B59:L59"/>
    <mergeCell ref="B58:L58"/>
    <mergeCell ref="B54:L54"/>
    <mergeCell ref="B61:I61"/>
    <mergeCell ref="B52:M52"/>
    <mergeCell ref="B56:L56"/>
    <mergeCell ref="B53:L53"/>
  </mergeCells>
  <pageMargins left="3.937007874015748E-2" right="3.937007874015748E-2" top="0.74803149606299213" bottom="0.74803149606299213" header="0.31496062992125984" footer="0.31496062992125984"/>
  <pageSetup paperSize="9" scale="9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6">
    <tabColor theme="6" tint="0.39997558519241921"/>
  </sheetPr>
  <dimension ref="A1:J15"/>
  <sheetViews>
    <sheetView showGridLines="0" workbookViewId="0">
      <selection activeCell="I25" sqref="I25"/>
    </sheetView>
  </sheetViews>
  <sheetFormatPr defaultColWidth="9.140625" defaultRowHeight="12.75" x14ac:dyDescent="0.2"/>
  <cols>
    <col min="1" max="1" width="14.85546875" style="139" customWidth="1"/>
    <col min="2" max="2" width="23.85546875" style="139" customWidth="1"/>
    <col min="3" max="3" width="14.28515625" style="139" customWidth="1"/>
    <col min="4" max="4" width="16.7109375" style="139" customWidth="1"/>
    <col min="5" max="8" width="9.140625" style="139"/>
    <col min="9" max="9" width="38.7109375" style="139" bestFit="1" customWidth="1"/>
    <col min="10" max="16384" width="9.140625" style="139"/>
  </cols>
  <sheetData>
    <row r="1" spans="1:10" ht="15" x14ac:dyDescent="0.25">
      <c r="A1" s="107" t="s">
        <v>892</v>
      </c>
    </row>
    <row r="3" spans="1:10" ht="15" x14ac:dyDescent="0.25">
      <c r="A3" s="279" t="s">
        <v>897</v>
      </c>
    </row>
    <row r="4" spans="1:10" ht="15.75" thickBot="1" x14ac:dyDescent="0.3">
      <c r="A4" s="279"/>
    </row>
    <row r="5" spans="1:10" ht="20.25" thickBot="1" x14ac:dyDescent="0.25">
      <c r="A5" s="662"/>
      <c r="B5" s="663"/>
      <c r="C5" s="280" t="s">
        <v>898</v>
      </c>
      <c r="D5" s="280" t="s">
        <v>899</v>
      </c>
      <c r="G5" s="537" t="s">
        <v>84</v>
      </c>
      <c r="H5" s="538"/>
      <c r="I5" s="538"/>
      <c r="J5" s="539"/>
    </row>
    <row r="6" spans="1:10" ht="16.5" thickBot="1" x14ac:dyDescent="0.3">
      <c r="A6" s="281"/>
      <c r="B6" s="282" t="s">
        <v>895</v>
      </c>
      <c r="C6" s="283">
        <v>0.24</v>
      </c>
      <c r="D6" s="283">
        <v>0.28999999999999998</v>
      </c>
      <c r="G6" s="62"/>
      <c r="H6" s="63"/>
      <c r="I6" s="63"/>
      <c r="J6" s="64"/>
    </row>
    <row r="7" spans="1:10" ht="16.5" thickBot="1" x14ac:dyDescent="0.3">
      <c r="A7" s="281"/>
      <c r="B7" s="282" t="s">
        <v>12</v>
      </c>
      <c r="C7" s="283">
        <v>0.3</v>
      </c>
      <c r="D7" s="283">
        <v>0.34</v>
      </c>
      <c r="G7" s="65"/>
      <c r="H7" s="66"/>
      <c r="I7" s="67" t="s">
        <v>82</v>
      </c>
      <c r="J7" s="68"/>
    </row>
    <row r="8" spans="1:10" ht="16.5" thickBot="1" x14ac:dyDescent="0.3">
      <c r="A8" s="281" t="s">
        <v>119</v>
      </c>
      <c r="B8" s="282" t="s">
        <v>13</v>
      </c>
      <c r="C8" s="283">
        <v>0.34</v>
      </c>
      <c r="D8" s="283">
        <v>0.38</v>
      </c>
      <c r="G8" s="65"/>
      <c r="H8" s="71"/>
      <c r="I8" s="67" t="s">
        <v>94</v>
      </c>
      <c r="J8" s="68"/>
    </row>
    <row r="9" spans="1:10" ht="16.5" thickBot="1" x14ac:dyDescent="0.3">
      <c r="A9" s="281" t="s">
        <v>893</v>
      </c>
      <c r="B9" s="282" t="s">
        <v>14</v>
      </c>
      <c r="C9" s="283">
        <v>0.37</v>
      </c>
      <c r="D9" s="283">
        <v>0.45</v>
      </c>
      <c r="G9" s="65"/>
      <c r="H9" s="72"/>
      <c r="I9" s="67" t="s">
        <v>83</v>
      </c>
      <c r="J9" s="68"/>
    </row>
    <row r="10" spans="1:10" ht="16.5" thickBot="1" x14ac:dyDescent="0.3">
      <c r="A10" s="281" t="s">
        <v>894</v>
      </c>
      <c r="B10" s="282" t="s">
        <v>15</v>
      </c>
      <c r="C10" s="283">
        <v>0.45</v>
      </c>
      <c r="D10" s="283">
        <v>0.65</v>
      </c>
      <c r="G10" s="73"/>
      <c r="H10" s="74"/>
      <c r="I10" s="74"/>
      <c r="J10" s="75"/>
    </row>
    <row r="11" spans="1:10" ht="16.5" thickBot="1" x14ac:dyDescent="0.25">
      <c r="A11" s="284"/>
      <c r="B11" s="282" t="s">
        <v>16</v>
      </c>
      <c r="C11" s="283">
        <v>0.65</v>
      </c>
      <c r="D11" s="283">
        <v>0.85</v>
      </c>
    </row>
    <row r="12" spans="1:10" ht="16.5" thickBot="1" x14ac:dyDescent="0.25">
      <c r="A12" s="285"/>
      <c r="B12" s="282" t="s">
        <v>17</v>
      </c>
      <c r="C12" s="283">
        <v>0.86</v>
      </c>
      <c r="D12" s="283">
        <v>0.95</v>
      </c>
    </row>
    <row r="15" spans="1:10" x14ac:dyDescent="0.2">
      <c r="A15" s="286" t="s">
        <v>896</v>
      </c>
    </row>
  </sheetData>
  <sheetProtection password="E299" sheet="1"/>
  <mergeCells count="2">
    <mergeCell ref="G5:J5"/>
    <mergeCell ref="A5:B5"/>
  </mergeCells>
  <pageMargins left="0.19685039370078741" right="0.19685039370078741" top="0.74803149606299213" bottom="0.74803149606299213" header="0.31496062992125984" footer="0.31496062992125984"/>
  <pageSetup paperSize="9" scale="9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7">
    <tabColor theme="6" tint="0.39997558519241921"/>
  </sheetPr>
  <dimension ref="A1:J10"/>
  <sheetViews>
    <sheetView showGridLines="0" workbookViewId="0">
      <selection activeCell="B21" sqref="B21"/>
    </sheetView>
  </sheetViews>
  <sheetFormatPr defaultColWidth="9.140625" defaultRowHeight="12.75" x14ac:dyDescent="0.2"/>
  <cols>
    <col min="1" max="1" width="27.42578125" style="139" customWidth="1"/>
    <col min="2" max="8" width="9.140625" style="139" customWidth="1"/>
    <col min="9" max="9" width="31.140625" style="139" customWidth="1"/>
    <col min="10" max="16384" width="9.140625" style="139"/>
  </cols>
  <sheetData>
    <row r="1" spans="1:10" ht="15" x14ac:dyDescent="0.25">
      <c r="A1" s="107" t="s">
        <v>618</v>
      </c>
    </row>
    <row r="3" spans="1:10" ht="15.75" customHeight="1" x14ac:dyDescent="0.25">
      <c r="A3" s="279" t="s">
        <v>704</v>
      </c>
    </row>
    <row r="4" spans="1:10" ht="15.75" customHeight="1" thickBot="1" x14ac:dyDescent="0.3">
      <c r="A4" s="279"/>
    </row>
    <row r="5" spans="1:10" ht="16.5" customHeight="1" thickBot="1" x14ac:dyDescent="0.25">
      <c r="A5" s="664" t="s">
        <v>236</v>
      </c>
      <c r="B5" s="664"/>
      <c r="C5" s="664"/>
      <c r="D5" s="666" t="s">
        <v>262</v>
      </c>
      <c r="E5" s="668" t="s">
        <v>263</v>
      </c>
      <c r="G5" s="537" t="s">
        <v>84</v>
      </c>
      <c r="H5" s="538"/>
      <c r="I5" s="538"/>
      <c r="J5" s="539"/>
    </row>
    <row r="6" spans="1:10" ht="15" x14ac:dyDescent="0.25">
      <c r="A6" s="664"/>
      <c r="B6" s="664"/>
      <c r="C6" s="664"/>
      <c r="D6" s="667"/>
      <c r="E6" s="669"/>
      <c r="G6" s="62"/>
      <c r="H6" s="63"/>
      <c r="I6" s="63"/>
      <c r="J6" s="64"/>
    </row>
    <row r="7" spans="1:10" ht="15.75" x14ac:dyDescent="0.25">
      <c r="A7" s="664"/>
      <c r="B7" s="664"/>
      <c r="C7" s="665"/>
      <c r="D7" s="287">
        <v>2.6499999999999999E-2</v>
      </c>
      <c r="E7" s="287" t="s">
        <v>237</v>
      </c>
      <c r="G7" s="65"/>
      <c r="H7" s="66"/>
      <c r="I7" s="67" t="s">
        <v>82</v>
      </c>
      <c r="J7" s="68"/>
    </row>
    <row r="8" spans="1:10" ht="15" x14ac:dyDescent="0.25">
      <c r="G8" s="65"/>
      <c r="H8" s="71"/>
      <c r="I8" s="67" t="s">
        <v>94</v>
      </c>
      <c r="J8" s="68"/>
    </row>
    <row r="9" spans="1:10" ht="15" x14ac:dyDescent="0.25">
      <c r="G9" s="65"/>
      <c r="H9" s="72"/>
      <c r="I9" s="67" t="s">
        <v>83</v>
      </c>
      <c r="J9" s="68"/>
    </row>
    <row r="10" spans="1:10" ht="15.75" thickBot="1" x14ac:dyDescent="0.3">
      <c r="G10" s="73"/>
      <c r="H10" s="74"/>
      <c r="I10" s="74"/>
      <c r="J10" s="75"/>
    </row>
  </sheetData>
  <sheetProtection password="E299" sheet="1"/>
  <mergeCells count="4">
    <mergeCell ref="G5:J5"/>
    <mergeCell ref="A5:C7"/>
    <mergeCell ref="D5:D6"/>
    <mergeCell ref="E5:E6"/>
  </mergeCells>
  <pageMargins left="0.511811024" right="0.511811024" top="0.78740157499999996" bottom="0.78740157499999996" header="0.31496062000000002" footer="0.31496062000000002"/>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8">
    <tabColor theme="6" tint="0.39997558519241921"/>
  </sheetPr>
  <dimension ref="A1:K11"/>
  <sheetViews>
    <sheetView showGridLines="0" workbookViewId="0">
      <selection activeCell="N28" sqref="N28"/>
    </sheetView>
  </sheetViews>
  <sheetFormatPr defaultColWidth="9.140625" defaultRowHeight="12.75" x14ac:dyDescent="0.2"/>
  <cols>
    <col min="1" max="1" width="5.5703125" style="139" bestFit="1" customWidth="1"/>
    <col min="2" max="4" width="9.140625" style="139" customWidth="1"/>
    <col min="5" max="5" width="10.85546875" style="139" bestFit="1" customWidth="1"/>
    <col min="6" max="6" width="11.28515625" style="139" bestFit="1" customWidth="1"/>
    <col min="7" max="7" width="9.140625" style="139" customWidth="1"/>
    <col min="8" max="8" width="5.85546875" style="139" customWidth="1"/>
    <col min="9" max="9" width="9.140625" style="139" customWidth="1"/>
    <col min="10" max="10" width="38.7109375" style="139" bestFit="1" customWidth="1"/>
    <col min="11" max="11" width="1.140625" style="139" customWidth="1"/>
    <col min="12" max="16384" width="9.140625" style="139"/>
  </cols>
  <sheetData>
    <row r="1" spans="1:11" ht="15" x14ac:dyDescent="0.25">
      <c r="A1" s="107" t="s">
        <v>696</v>
      </c>
    </row>
    <row r="3" spans="1:11" s="59" customFormat="1" ht="15" x14ac:dyDescent="0.25">
      <c r="A3" s="115" t="s">
        <v>705</v>
      </c>
      <c r="B3" s="78" t="s">
        <v>224</v>
      </c>
    </row>
    <row r="4" spans="1:11" s="59" customFormat="1" ht="15.75" thickBot="1" x14ac:dyDescent="0.3">
      <c r="A4" s="115"/>
      <c r="B4" s="78"/>
    </row>
    <row r="5" spans="1:11" s="59" customFormat="1" ht="32.25" thickBot="1" x14ac:dyDescent="0.3">
      <c r="A5" s="670" t="s">
        <v>223</v>
      </c>
      <c r="B5" s="670"/>
      <c r="C5" s="670"/>
      <c r="D5" s="671"/>
      <c r="E5" s="288" t="s">
        <v>903</v>
      </c>
      <c r="F5" s="288" t="s">
        <v>904</v>
      </c>
      <c r="H5" s="537" t="s">
        <v>84</v>
      </c>
      <c r="I5" s="538"/>
      <c r="J5" s="538"/>
      <c r="K5" s="539"/>
    </row>
    <row r="6" spans="1:11" s="59" customFormat="1" ht="15.75" customHeight="1" x14ac:dyDescent="0.25">
      <c r="A6" s="670"/>
      <c r="B6" s="670"/>
      <c r="C6" s="670"/>
      <c r="D6" s="671"/>
      <c r="E6" s="289">
        <v>0.03</v>
      </c>
      <c r="F6" s="289">
        <v>0.05</v>
      </c>
      <c r="H6" s="62"/>
      <c r="I6" s="63"/>
      <c r="J6" s="63"/>
      <c r="K6" s="64"/>
    </row>
    <row r="7" spans="1:11" s="59" customFormat="1" ht="15.75" customHeight="1" x14ac:dyDescent="0.25">
      <c r="A7" s="78"/>
      <c r="B7" s="78"/>
      <c r="C7" s="78"/>
      <c r="D7" s="78"/>
      <c r="H7" s="65"/>
      <c r="I7" s="66"/>
      <c r="J7" s="67" t="s">
        <v>82</v>
      </c>
      <c r="K7" s="68"/>
    </row>
    <row r="8" spans="1:11" s="59" customFormat="1" ht="15" customHeight="1" x14ac:dyDescent="0.25">
      <c r="A8" s="139"/>
      <c r="B8" s="139"/>
      <c r="C8" s="139"/>
      <c r="D8" s="139"/>
      <c r="E8" s="139"/>
      <c r="F8" s="139"/>
      <c r="H8" s="65"/>
      <c r="I8" s="71"/>
      <c r="J8" s="67" t="s">
        <v>94</v>
      </c>
      <c r="K8" s="68"/>
    </row>
    <row r="9" spans="1:11" s="59" customFormat="1" ht="15" x14ac:dyDescent="0.25">
      <c r="A9" s="139"/>
      <c r="B9" s="139"/>
      <c r="C9" s="139"/>
      <c r="D9" s="139"/>
      <c r="E9" s="139"/>
      <c r="F9" s="139"/>
      <c r="H9" s="65"/>
      <c r="I9" s="72"/>
      <c r="J9" s="67" t="s">
        <v>83</v>
      </c>
      <c r="K9" s="68"/>
    </row>
    <row r="10" spans="1:11" s="59" customFormat="1" ht="15.75" thickBot="1" x14ac:dyDescent="0.3">
      <c r="A10" s="139"/>
      <c r="B10" s="139"/>
      <c r="C10" s="139"/>
      <c r="D10" s="139"/>
      <c r="E10" s="139"/>
      <c r="F10" s="139"/>
      <c r="H10" s="73"/>
      <c r="I10" s="74"/>
      <c r="J10" s="74"/>
      <c r="K10" s="75"/>
    </row>
    <row r="11" spans="1:11" s="59" customFormat="1" ht="15" x14ac:dyDescent="0.25">
      <c r="A11" s="139"/>
      <c r="B11" s="139"/>
      <c r="C11" s="139"/>
      <c r="D11" s="139"/>
      <c r="E11" s="139"/>
      <c r="F11" s="139"/>
    </row>
  </sheetData>
  <sheetProtection password="E299" sheet="1"/>
  <mergeCells count="2">
    <mergeCell ref="H5:K5"/>
    <mergeCell ref="A5:D6"/>
  </mergeCells>
  <pageMargins left="0.511811024" right="0.511811024" top="0.78740157499999996" bottom="0.78740157499999996" header="0.31496062000000002" footer="0.31496062000000002"/>
  <pageSetup paperSize="9" orientation="landscape"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9">
    <tabColor theme="6" tint="0.59999389629810485"/>
  </sheetPr>
  <dimension ref="A1:M60"/>
  <sheetViews>
    <sheetView showGridLines="0" topLeftCell="A28" workbookViewId="0">
      <selection activeCell="K32" sqref="K32"/>
    </sheetView>
  </sheetViews>
  <sheetFormatPr defaultColWidth="11.42578125" defaultRowHeight="15" x14ac:dyDescent="0.25"/>
  <cols>
    <col min="1" max="1" width="5" style="59" customWidth="1"/>
    <col min="2" max="2" width="21" style="59" customWidth="1"/>
    <col min="3" max="3" width="10" style="59" hidden="1" customWidth="1"/>
    <col min="4" max="4" width="18.42578125" style="59" customWidth="1"/>
    <col min="5" max="5" width="10" style="59" customWidth="1"/>
    <col min="6" max="6" width="8.140625" style="59" customWidth="1"/>
    <col min="7" max="7" width="15.28515625" style="59" customWidth="1"/>
    <col min="8" max="8" width="5.5703125" style="59" bestFit="1" customWidth="1"/>
    <col min="9" max="9" width="11.42578125" style="59" customWidth="1"/>
    <col min="10" max="10" width="4.7109375" style="59" customWidth="1"/>
    <col min="11" max="11" width="11.42578125" style="59" customWidth="1"/>
    <col min="12" max="12" width="38.7109375" style="59" bestFit="1" customWidth="1"/>
    <col min="13" max="13" width="0.85546875" style="59" customWidth="1"/>
    <col min="14" max="14" width="37.85546875" style="59" customWidth="1"/>
    <col min="15" max="16384" width="11.42578125" style="59"/>
  </cols>
  <sheetData>
    <row r="1" spans="1:13" x14ac:dyDescent="0.25">
      <c r="A1" s="107" t="s">
        <v>697</v>
      </c>
    </row>
    <row r="3" spans="1:13" ht="15.75" thickBot="1" x14ac:dyDescent="0.3">
      <c r="A3" s="78" t="s">
        <v>702</v>
      </c>
      <c r="B3" s="78" t="s">
        <v>56</v>
      </c>
    </row>
    <row r="4" spans="1:13" ht="15" customHeight="1" thickBot="1" x14ac:dyDescent="0.3">
      <c r="A4" s="675" t="s">
        <v>58</v>
      </c>
      <c r="B4" s="676"/>
      <c r="C4" s="677"/>
      <c r="D4" s="295">
        <v>2</v>
      </c>
      <c r="F4" s="290"/>
      <c r="J4" s="537" t="s">
        <v>84</v>
      </c>
      <c r="K4" s="538"/>
      <c r="L4" s="538"/>
      <c r="M4" s="539"/>
    </row>
    <row r="5" spans="1:13" x14ac:dyDescent="0.25">
      <c r="A5" s="675" t="s">
        <v>57</v>
      </c>
      <c r="B5" s="676"/>
      <c r="C5" s="677"/>
      <c r="D5" s="295">
        <v>3</v>
      </c>
      <c r="F5" s="81"/>
      <c r="J5" s="62"/>
      <c r="K5" s="63"/>
      <c r="L5" s="63"/>
      <c r="M5" s="64"/>
    </row>
    <row r="6" spans="1:13" x14ac:dyDescent="0.25">
      <c r="A6" s="78"/>
      <c r="B6" s="78"/>
      <c r="J6" s="65"/>
      <c r="K6" s="66"/>
      <c r="L6" s="67" t="s">
        <v>82</v>
      </c>
      <c r="M6" s="68"/>
    </row>
    <row r="7" spans="1:13" x14ac:dyDescent="0.25">
      <c r="A7" s="78" t="s">
        <v>703</v>
      </c>
      <c r="B7" s="78" t="s">
        <v>59</v>
      </c>
      <c r="G7" s="107"/>
      <c r="J7" s="65"/>
      <c r="K7" s="71"/>
      <c r="L7" s="67" t="s">
        <v>94</v>
      </c>
      <c r="M7" s="68"/>
    </row>
    <row r="8" spans="1:13" x14ac:dyDescent="0.25">
      <c r="A8" s="702" t="s">
        <v>8</v>
      </c>
      <c r="B8" s="703"/>
      <c r="C8" s="704"/>
      <c r="D8" s="699" t="s">
        <v>95</v>
      </c>
      <c r="E8" s="679" t="s">
        <v>96</v>
      </c>
      <c r="F8" s="680"/>
      <c r="J8" s="65"/>
      <c r="K8" s="72"/>
      <c r="L8" s="67" t="s">
        <v>83</v>
      </c>
      <c r="M8" s="68"/>
    </row>
    <row r="9" spans="1:13" ht="15.75" thickBot="1" x14ac:dyDescent="0.3">
      <c r="A9" s="705"/>
      <c r="B9" s="706"/>
      <c r="C9" s="707"/>
      <c r="D9" s="699"/>
      <c r="E9" s="681"/>
      <c r="F9" s="682"/>
      <c r="J9" s="73"/>
      <c r="K9" s="74"/>
      <c r="L9" s="74"/>
      <c r="M9" s="75"/>
    </row>
    <row r="10" spans="1:13" ht="15" customHeight="1" x14ac:dyDescent="0.25">
      <c r="A10" s="672" t="s">
        <v>11</v>
      </c>
      <c r="B10" s="673"/>
      <c r="C10" s="674"/>
      <c r="D10" s="295">
        <v>88000</v>
      </c>
      <c r="E10" s="683">
        <v>125000</v>
      </c>
      <c r="F10" s="684"/>
      <c r="G10" s="678" t="s">
        <v>24</v>
      </c>
    </row>
    <row r="11" spans="1:13" x14ac:dyDescent="0.25">
      <c r="A11" s="672" t="s">
        <v>12</v>
      </c>
      <c r="B11" s="673"/>
      <c r="C11" s="674"/>
      <c r="D11" s="295">
        <v>88000</v>
      </c>
      <c r="E11" s="683">
        <v>125000</v>
      </c>
      <c r="F11" s="684"/>
      <c r="G11" s="678"/>
    </row>
    <row r="12" spans="1:13" ht="15" customHeight="1" x14ac:dyDescent="0.25">
      <c r="A12" s="672" t="s">
        <v>13</v>
      </c>
      <c r="B12" s="673"/>
      <c r="C12" s="674"/>
      <c r="D12" s="295">
        <v>88000</v>
      </c>
      <c r="E12" s="683">
        <v>120000</v>
      </c>
      <c r="F12" s="684"/>
      <c r="G12" s="678"/>
    </row>
    <row r="13" spans="1:13" x14ac:dyDescent="0.25">
      <c r="A13" s="672" t="s">
        <v>14</v>
      </c>
      <c r="B13" s="673"/>
      <c r="C13" s="674"/>
      <c r="D13" s="295">
        <v>88000</v>
      </c>
      <c r="E13" s="683">
        <v>120000</v>
      </c>
      <c r="F13" s="684"/>
      <c r="G13" s="678"/>
    </row>
    <row r="14" spans="1:13" ht="15" customHeight="1" x14ac:dyDescent="0.25">
      <c r="A14" s="672" t="s">
        <v>15</v>
      </c>
      <c r="B14" s="673"/>
      <c r="C14" s="674"/>
      <c r="D14" s="295">
        <v>88000</v>
      </c>
      <c r="E14" s="683">
        <v>125000</v>
      </c>
      <c r="F14" s="684"/>
      <c r="G14" s="678"/>
    </row>
    <row r="15" spans="1:13" x14ac:dyDescent="0.25">
      <c r="A15" s="672" t="s">
        <v>16</v>
      </c>
      <c r="B15" s="673"/>
      <c r="C15" s="674"/>
      <c r="D15" s="295">
        <v>88000</v>
      </c>
      <c r="E15" s="683">
        <v>125000</v>
      </c>
      <c r="F15" s="684"/>
      <c r="G15" s="678"/>
    </row>
    <row r="16" spans="1:13" x14ac:dyDescent="0.25">
      <c r="A16" s="672" t="s">
        <v>17</v>
      </c>
      <c r="B16" s="673"/>
      <c r="C16" s="674"/>
      <c r="D16" s="295">
        <v>88000</v>
      </c>
      <c r="E16" s="683">
        <v>125000</v>
      </c>
      <c r="F16" s="684"/>
      <c r="G16" s="678"/>
    </row>
    <row r="17" spans="1:8" ht="15" customHeight="1" x14ac:dyDescent="0.25">
      <c r="A17" s="78"/>
      <c r="B17" s="78"/>
    </row>
    <row r="18" spans="1:8" x14ac:dyDescent="0.25">
      <c r="A18" s="78" t="s">
        <v>706</v>
      </c>
      <c r="B18" s="78" t="s">
        <v>67</v>
      </c>
    </row>
    <row r="19" spans="1:8" x14ac:dyDescent="0.25">
      <c r="A19" s="702" t="s">
        <v>8</v>
      </c>
      <c r="B19" s="703"/>
      <c r="C19" s="704"/>
      <c r="D19" s="699" t="s">
        <v>60</v>
      </c>
      <c r="E19" s="702" t="s">
        <v>62</v>
      </c>
      <c r="F19" s="704"/>
      <c r="G19" s="700" t="s">
        <v>66</v>
      </c>
    </row>
    <row r="20" spans="1:8" x14ac:dyDescent="0.25">
      <c r="A20" s="705"/>
      <c r="B20" s="706"/>
      <c r="C20" s="707"/>
      <c r="D20" s="699"/>
      <c r="E20" s="705"/>
      <c r="F20" s="707"/>
      <c r="G20" s="701"/>
    </row>
    <row r="21" spans="1:8" ht="15" customHeight="1" x14ac:dyDescent="0.25">
      <c r="A21" s="672" t="s">
        <v>11</v>
      </c>
      <c r="B21" s="673"/>
      <c r="C21" s="674"/>
      <c r="D21" s="295" t="s">
        <v>61</v>
      </c>
      <c r="E21" s="693" t="s">
        <v>65</v>
      </c>
      <c r="F21" s="694"/>
      <c r="G21" s="295">
        <v>6</v>
      </c>
      <c r="H21" s="708" t="s">
        <v>88</v>
      </c>
    </row>
    <row r="22" spans="1:8" x14ac:dyDescent="0.25">
      <c r="A22" s="672" t="s">
        <v>12</v>
      </c>
      <c r="B22" s="673"/>
      <c r="C22" s="674"/>
      <c r="D22" s="295" t="s">
        <v>61</v>
      </c>
      <c r="E22" s="695"/>
      <c r="F22" s="696"/>
      <c r="G22" s="295">
        <v>6</v>
      </c>
      <c r="H22" s="708"/>
    </row>
    <row r="23" spans="1:8" x14ac:dyDescent="0.25">
      <c r="A23" s="672" t="s">
        <v>13</v>
      </c>
      <c r="B23" s="673"/>
      <c r="C23" s="674"/>
      <c r="D23" s="295" t="s">
        <v>63</v>
      </c>
      <c r="E23" s="695"/>
      <c r="F23" s="696"/>
      <c r="G23" s="295">
        <v>6</v>
      </c>
      <c r="H23" s="708"/>
    </row>
    <row r="24" spans="1:8" x14ac:dyDescent="0.25">
      <c r="A24" s="672" t="s">
        <v>14</v>
      </c>
      <c r="B24" s="673"/>
      <c r="C24" s="674"/>
      <c r="D24" s="296" t="s">
        <v>63</v>
      </c>
      <c r="E24" s="695"/>
      <c r="F24" s="696"/>
      <c r="G24" s="295">
        <v>6</v>
      </c>
      <c r="H24" s="708"/>
    </row>
    <row r="25" spans="1:8" x14ac:dyDescent="0.25">
      <c r="A25" s="672" t="s">
        <v>15</v>
      </c>
      <c r="B25" s="673"/>
      <c r="C25" s="674"/>
      <c r="D25" s="295" t="s">
        <v>64</v>
      </c>
      <c r="E25" s="695"/>
      <c r="F25" s="696"/>
      <c r="G25" s="295">
        <v>6</v>
      </c>
      <c r="H25" s="708"/>
    </row>
    <row r="26" spans="1:8" x14ac:dyDescent="0.25">
      <c r="A26" s="672" t="s">
        <v>16</v>
      </c>
      <c r="B26" s="673"/>
      <c r="C26" s="674"/>
      <c r="D26" s="295" t="s">
        <v>64</v>
      </c>
      <c r="E26" s="695"/>
      <c r="F26" s="696"/>
      <c r="G26" s="295">
        <v>6</v>
      </c>
      <c r="H26" s="708"/>
    </row>
    <row r="27" spans="1:8" x14ac:dyDescent="0.25">
      <c r="A27" s="672" t="s">
        <v>17</v>
      </c>
      <c r="B27" s="673"/>
      <c r="C27" s="674"/>
      <c r="D27" s="295" t="s">
        <v>64</v>
      </c>
      <c r="E27" s="697"/>
      <c r="F27" s="698"/>
      <c r="G27" s="295">
        <v>6</v>
      </c>
      <c r="H27" s="708"/>
    </row>
    <row r="29" spans="1:8" x14ac:dyDescent="0.25">
      <c r="A29" s="78" t="s">
        <v>707</v>
      </c>
      <c r="B29" s="78" t="s">
        <v>85</v>
      </c>
    </row>
    <row r="30" spans="1:8" ht="15" customHeight="1" x14ac:dyDescent="0.25">
      <c r="A30" s="600" t="s">
        <v>8</v>
      </c>
      <c r="B30" s="601"/>
      <c r="C30" s="606"/>
      <c r="D30" s="690" t="s">
        <v>93</v>
      </c>
      <c r="E30" s="689" t="s">
        <v>86</v>
      </c>
      <c r="F30" s="689"/>
    </row>
    <row r="31" spans="1:8" x14ac:dyDescent="0.25">
      <c r="A31" s="602"/>
      <c r="B31" s="603"/>
      <c r="C31" s="607"/>
      <c r="D31" s="691"/>
      <c r="E31" s="689"/>
      <c r="F31" s="689"/>
    </row>
    <row r="32" spans="1:8" ht="15" customHeight="1" x14ac:dyDescent="0.25">
      <c r="A32" s="598" t="s">
        <v>11</v>
      </c>
      <c r="B32" s="599"/>
      <c r="C32" s="605"/>
      <c r="D32" s="291">
        <f>$D$5</f>
        <v>3</v>
      </c>
      <c r="E32" s="692">
        <f>G21*D32*'2.1.c Insumos'!$F$22</f>
        <v>7335.9000000000005</v>
      </c>
      <c r="F32" s="692"/>
    </row>
    <row r="33" spans="1:13" x14ac:dyDescent="0.25">
      <c r="A33" s="598" t="s">
        <v>12</v>
      </c>
      <c r="B33" s="599"/>
      <c r="C33" s="605"/>
      <c r="D33" s="292">
        <f t="shared" ref="D33:D38" si="0">$D$5</f>
        <v>3</v>
      </c>
      <c r="E33" s="692">
        <f>G22*D33*'2.1.c Insumos'!$F$22</f>
        <v>7335.9000000000005</v>
      </c>
      <c r="F33" s="692"/>
    </row>
    <row r="34" spans="1:13" ht="15" customHeight="1" x14ac:dyDescent="0.25">
      <c r="A34" s="598" t="s">
        <v>13</v>
      </c>
      <c r="B34" s="599"/>
      <c r="C34" s="605"/>
      <c r="D34" s="292">
        <f t="shared" si="0"/>
        <v>3</v>
      </c>
      <c r="E34" s="692">
        <f>G23*D34*'2.1.c Insumos'!$F$23</f>
        <v>12055.5</v>
      </c>
      <c r="F34" s="692"/>
    </row>
    <row r="35" spans="1:13" x14ac:dyDescent="0.25">
      <c r="A35" s="598" t="s">
        <v>14</v>
      </c>
      <c r="B35" s="599"/>
      <c r="C35" s="605"/>
      <c r="D35" s="292">
        <f t="shared" si="0"/>
        <v>3</v>
      </c>
      <c r="E35" s="692">
        <f>G24*D35*'2.1.c Insumos'!$F$23</f>
        <v>12055.5</v>
      </c>
      <c r="F35" s="692"/>
    </row>
    <row r="36" spans="1:13" ht="15" customHeight="1" x14ac:dyDescent="0.25">
      <c r="A36" s="598" t="s">
        <v>15</v>
      </c>
      <c r="B36" s="599"/>
      <c r="C36" s="605"/>
      <c r="D36" s="292">
        <f t="shared" si="0"/>
        <v>3</v>
      </c>
      <c r="E36" s="692">
        <f>G25*D36*'2.1.c Insumos'!$F$24</f>
        <v>12671.1</v>
      </c>
      <c r="F36" s="692"/>
    </row>
    <row r="37" spans="1:13" x14ac:dyDescent="0.25">
      <c r="A37" s="598" t="s">
        <v>16</v>
      </c>
      <c r="B37" s="599"/>
      <c r="C37" s="605"/>
      <c r="D37" s="292">
        <f t="shared" si="0"/>
        <v>3</v>
      </c>
      <c r="E37" s="692">
        <f>G26*D37*'2.1.c Insumos'!$F$24</f>
        <v>12671.1</v>
      </c>
      <c r="F37" s="692"/>
    </row>
    <row r="38" spans="1:13" x14ac:dyDescent="0.25">
      <c r="A38" s="598" t="s">
        <v>17</v>
      </c>
      <c r="B38" s="599"/>
      <c r="C38" s="605"/>
      <c r="D38" s="292">
        <f t="shared" si="0"/>
        <v>3</v>
      </c>
      <c r="E38" s="692">
        <f>G27*D38*'2.1.c Insumos'!$F$24</f>
        <v>12671.1</v>
      </c>
      <c r="F38" s="692"/>
    </row>
    <row r="40" spans="1:13" x14ac:dyDescent="0.25">
      <c r="A40" s="78" t="s">
        <v>708</v>
      </c>
      <c r="B40" s="78" t="s">
        <v>89</v>
      </c>
    </row>
    <row r="41" spans="1:13" ht="15" customHeight="1" thickBot="1" x14ac:dyDescent="0.3">
      <c r="A41" s="600" t="s">
        <v>8</v>
      </c>
      <c r="B41" s="601"/>
      <c r="C41" s="606"/>
      <c r="D41" s="687" t="s">
        <v>90</v>
      </c>
    </row>
    <row r="42" spans="1:13" ht="15" customHeight="1" thickBot="1" x14ac:dyDescent="0.3">
      <c r="A42" s="602"/>
      <c r="B42" s="603"/>
      <c r="C42" s="607"/>
      <c r="D42" s="688"/>
      <c r="J42" s="537" t="s">
        <v>84</v>
      </c>
      <c r="K42" s="538"/>
      <c r="L42" s="538"/>
      <c r="M42" s="539"/>
    </row>
    <row r="43" spans="1:13" ht="15" customHeight="1" x14ac:dyDescent="0.25">
      <c r="A43" s="598" t="s">
        <v>11</v>
      </c>
      <c r="B43" s="599"/>
      <c r="C43" s="605"/>
      <c r="D43" s="293">
        <f>G21*'2.1.c Insumos'!$F$19</f>
        <v>8150.9400000000005</v>
      </c>
      <c r="J43" s="62"/>
      <c r="K43" s="63"/>
      <c r="L43" s="63"/>
      <c r="M43" s="64"/>
    </row>
    <row r="44" spans="1:13" x14ac:dyDescent="0.25">
      <c r="A44" s="598" t="s">
        <v>12</v>
      </c>
      <c r="B44" s="599"/>
      <c r="C44" s="605"/>
      <c r="D44" s="293">
        <f>G22*'2.1.c Insumos'!$F$19</f>
        <v>8150.9400000000005</v>
      </c>
      <c r="E44" s="83"/>
      <c r="J44" s="65"/>
      <c r="K44" s="66"/>
      <c r="L44" s="67" t="s">
        <v>82</v>
      </c>
      <c r="M44" s="68"/>
    </row>
    <row r="45" spans="1:13" x14ac:dyDescent="0.25">
      <c r="A45" s="598" t="s">
        <v>13</v>
      </c>
      <c r="B45" s="599"/>
      <c r="C45" s="605"/>
      <c r="D45" s="293">
        <f>G23*'2.1.c Insumos'!$F$20</f>
        <v>13394.939999999999</v>
      </c>
      <c r="E45" s="83"/>
      <c r="J45" s="65"/>
      <c r="K45" s="71"/>
      <c r="L45" s="67" t="s">
        <v>94</v>
      </c>
      <c r="M45" s="68"/>
    </row>
    <row r="46" spans="1:13" x14ac:dyDescent="0.25">
      <c r="A46" s="598" t="s">
        <v>14</v>
      </c>
      <c r="B46" s="599"/>
      <c r="C46" s="605"/>
      <c r="D46" s="293">
        <f>G24*'2.1.c Insumos'!$F$20</f>
        <v>13394.939999999999</v>
      </c>
      <c r="E46" s="83"/>
      <c r="J46" s="65"/>
      <c r="K46" s="72"/>
      <c r="L46" s="67" t="s">
        <v>83</v>
      </c>
      <c r="M46" s="68"/>
    </row>
    <row r="47" spans="1:13" ht="15.75" thickBot="1" x14ac:dyDescent="0.3">
      <c r="A47" s="598" t="s">
        <v>15</v>
      </c>
      <c r="B47" s="599"/>
      <c r="C47" s="605"/>
      <c r="D47" s="293">
        <f>G25*'2.1.c Insumos'!$F$21</f>
        <v>14078.939999999999</v>
      </c>
      <c r="E47" s="83"/>
      <c r="J47" s="73"/>
      <c r="K47" s="74"/>
      <c r="L47" s="74"/>
      <c r="M47" s="75"/>
    </row>
    <row r="48" spans="1:13" x14ac:dyDescent="0.25">
      <c r="A48" s="598" t="s">
        <v>16</v>
      </c>
      <c r="B48" s="599"/>
      <c r="C48" s="605"/>
      <c r="D48" s="293">
        <f>G26*'2.1.c Insumos'!$F$21</f>
        <v>14078.939999999999</v>
      </c>
      <c r="E48" s="83"/>
    </row>
    <row r="49" spans="1:7" x14ac:dyDescent="0.25">
      <c r="A49" s="598" t="s">
        <v>17</v>
      </c>
      <c r="B49" s="599"/>
      <c r="C49" s="605"/>
      <c r="D49" s="293">
        <f>G27*'2.1.c Insumos'!$F$21</f>
        <v>14078.939999999999</v>
      </c>
      <c r="E49" s="83"/>
    </row>
    <row r="51" spans="1:7" x14ac:dyDescent="0.25">
      <c r="A51" s="78" t="s">
        <v>709</v>
      </c>
      <c r="B51" s="78" t="s">
        <v>91</v>
      </c>
    </row>
    <row r="52" spans="1:7" ht="15" customHeight="1" x14ac:dyDescent="0.25">
      <c r="A52" s="600" t="s">
        <v>8</v>
      </c>
      <c r="B52" s="601"/>
      <c r="C52" s="606"/>
      <c r="D52" s="690" t="s">
        <v>97</v>
      </c>
      <c r="E52" s="689" t="s">
        <v>92</v>
      </c>
      <c r="F52" s="689"/>
    </row>
    <row r="53" spans="1:7" ht="15" customHeight="1" x14ac:dyDescent="0.25">
      <c r="A53" s="602"/>
      <c r="B53" s="603"/>
      <c r="C53" s="607"/>
      <c r="D53" s="691"/>
      <c r="E53" s="689"/>
      <c r="F53" s="689"/>
    </row>
    <row r="54" spans="1:7" ht="15" customHeight="1" x14ac:dyDescent="0.25">
      <c r="A54" s="598" t="s">
        <v>11</v>
      </c>
      <c r="B54" s="599"/>
      <c r="C54" s="605"/>
      <c r="D54" s="294">
        <f>E10</f>
        <v>125000</v>
      </c>
      <c r="E54" s="685">
        <f>(E32+D43)*(SUM('1.3 Frota Total'!C19:F19))/D54</f>
        <v>1.3628419199999999</v>
      </c>
      <c r="F54" s="686"/>
    </row>
    <row r="55" spans="1:7" x14ac:dyDescent="0.25">
      <c r="A55" s="598" t="s">
        <v>12</v>
      </c>
      <c r="B55" s="599"/>
      <c r="C55" s="605"/>
      <c r="D55" s="294">
        <f t="shared" ref="D55:D60" si="1">E11</f>
        <v>125000</v>
      </c>
      <c r="E55" s="685">
        <f>(E33+D44)*(SUM('1.3 Frota Total'!C20:F20))/D55</f>
        <v>0</v>
      </c>
      <c r="F55" s="686"/>
      <c r="G55" s="83"/>
    </row>
    <row r="56" spans="1:7" x14ac:dyDescent="0.25">
      <c r="A56" s="598" t="s">
        <v>13</v>
      </c>
      <c r="B56" s="599"/>
      <c r="C56" s="605"/>
      <c r="D56" s="294">
        <f t="shared" si="1"/>
        <v>120000</v>
      </c>
      <c r="E56" s="685">
        <f>(E34+D45)*(SUM('1.3 Frota Total'!C21:F21))/D56</f>
        <v>5.5142619999999996</v>
      </c>
      <c r="F56" s="686"/>
      <c r="G56" s="83"/>
    </row>
    <row r="57" spans="1:7" x14ac:dyDescent="0.25">
      <c r="A57" s="598" t="s">
        <v>14</v>
      </c>
      <c r="B57" s="599"/>
      <c r="C57" s="605"/>
      <c r="D57" s="294">
        <f t="shared" si="1"/>
        <v>120000</v>
      </c>
      <c r="E57" s="685">
        <f>(E35+D46)*(SUM('1.3 Frota Total'!C22:F22))/D57</f>
        <v>1.060435</v>
      </c>
      <c r="F57" s="686"/>
      <c r="G57" s="83"/>
    </row>
    <row r="58" spans="1:7" x14ac:dyDescent="0.25">
      <c r="A58" s="598" t="s">
        <v>15</v>
      </c>
      <c r="B58" s="599"/>
      <c r="C58" s="605"/>
      <c r="D58" s="294">
        <f t="shared" si="1"/>
        <v>125000</v>
      </c>
      <c r="E58" s="685">
        <f>(E36+D47)*(SUM('1.3 Frota Total'!C23:F23))/D58</f>
        <v>0</v>
      </c>
      <c r="F58" s="686"/>
      <c r="G58" s="83"/>
    </row>
    <row r="59" spans="1:7" x14ac:dyDescent="0.25">
      <c r="A59" s="598" t="s">
        <v>16</v>
      </c>
      <c r="B59" s="599"/>
      <c r="C59" s="605"/>
      <c r="D59" s="294">
        <f t="shared" si="1"/>
        <v>125000</v>
      </c>
      <c r="E59" s="685">
        <f>(E37+D48)*(SUM('1.3 Frota Total'!C24:F24))/D59</f>
        <v>0</v>
      </c>
      <c r="F59" s="686"/>
      <c r="G59" s="83"/>
    </row>
    <row r="60" spans="1:7" x14ac:dyDescent="0.25">
      <c r="A60" s="598" t="s">
        <v>17</v>
      </c>
      <c r="B60" s="599"/>
      <c r="C60" s="605"/>
      <c r="D60" s="294">
        <f t="shared" si="1"/>
        <v>125000</v>
      </c>
      <c r="E60" s="685">
        <f>(E38+D49)*(SUM('1.3 Frota Total'!C25:F25))/D60</f>
        <v>0</v>
      </c>
      <c r="F60" s="686"/>
      <c r="G60" s="83"/>
    </row>
  </sheetData>
  <sheetProtection password="E299" sheet="1"/>
  <mergeCells count="78">
    <mergeCell ref="D19:D20"/>
    <mergeCell ref="G19:G20"/>
    <mergeCell ref="A19:C20"/>
    <mergeCell ref="A21:C21"/>
    <mergeCell ref="J4:M4"/>
    <mergeCell ref="A8:C9"/>
    <mergeCell ref="D8:D9"/>
    <mergeCell ref="H21:H27"/>
    <mergeCell ref="A22:C22"/>
    <mergeCell ref="A23:C23"/>
    <mergeCell ref="E14:F14"/>
    <mergeCell ref="E15:F15"/>
    <mergeCell ref="E16:F16"/>
    <mergeCell ref="E19:F20"/>
    <mergeCell ref="A15:C15"/>
    <mergeCell ref="E33:F33"/>
    <mergeCell ref="A41:C42"/>
    <mergeCell ref="A24:C24"/>
    <mergeCell ref="A25:C25"/>
    <mergeCell ref="E34:F34"/>
    <mergeCell ref="E35:F35"/>
    <mergeCell ref="D30:D31"/>
    <mergeCell ref="E30:F31"/>
    <mergeCell ref="E32:F32"/>
    <mergeCell ref="A27:C27"/>
    <mergeCell ref="E21:F27"/>
    <mergeCell ref="E38:F38"/>
    <mergeCell ref="E36:F36"/>
    <mergeCell ref="E37:F37"/>
    <mergeCell ref="A35:C35"/>
    <mergeCell ref="A30:C31"/>
    <mergeCell ref="D41:D42"/>
    <mergeCell ref="A55:C55"/>
    <mergeCell ref="E55:F55"/>
    <mergeCell ref="A56:C56"/>
    <mergeCell ref="A49:C49"/>
    <mergeCell ref="A47:C47"/>
    <mergeCell ref="E52:F53"/>
    <mergeCell ref="E54:F54"/>
    <mergeCell ref="A52:C53"/>
    <mergeCell ref="D52:D53"/>
    <mergeCell ref="A45:C45"/>
    <mergeCell ref="A46:C46"/>
    <mergeCell ref="A44:C44"/>
    <mergeCell ref="A43:C43"/>
    <mergeCell ref="A60:C60"/>
    <mergeCell ref="E60:F60"/>
    <mergeCell ref="E56:F56"/>
    <mergeCell ref="A57:C57"/>
    <mergeCell ref="E57:F57"/>
    <mergeCell ref="E59:F59"/>
    <mergeCell ref="A59:C59"/>
    <mergeCell ref="A58:C58"/>
    <mergeCell ref="E58:F58"/>
    <mergeCell ref="A32:C32"/>
    <mergeCell ref="A54:C54"/>
    <mergeCell ref="A48:C48"/>
    <mergeCell ref="A33:C33"/>
    <mergeCell ref="A34:C34"/>
    <mergeCell ref="A36:C36"/>
    <mergeCell ref="A37:C37"/>
    <mergeCell ref="A38:C38"/>
    <mergeCell ref="J42:M42"/>
    <mergeCell ref="A16:C16"/>
    <mergeCell ref="A4:C4"/>
    <mergeCell ref="A5:C5"/>
    <mergeCell ref="G10:G16"/>
    <mergeCell ref="E8:F9"/>
    <mergeCell ref="E10:F10"/>
    <mergeCell ref="E11:F11"/>
    <mergeCell ref="E12:F12"/>
    <mergeCell ref="A13:C13"/>
    <mergeCell ref="A10:C10"/>
    <mergeCell ref="A11:C11"/>
    <mergeCell ref="A12:C12"/>
    <mergeCell ref="A26:C26"/>
    <mergeCell ref="E13:F13"/>
    <mergeCell ref="A14:C14"/>
  </mergeCells>
  <pageMargins left="0.23622047244094491" right="0.23622047244094491" top="0.74803149606299213" bottom="0.74803149606299213" header="0.31496062992125984" footer="0.31496062992125984"/>
  <pageSetup paperSize="9" scale="90" orientation="landscape" verticalDpi="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
    <tabColor theme="9" tint="0.59999389629810485"/>
  </sheetPr>
  <dimension ref="A1:N60"/>
  <sheetViews>
    <sheetView showGridLines="0" workbookViewId="0">
      <selection activeCell="N19" sqref="N19"/>
    </sheetView>
  </sheetViews>
  <sheetFormatPr defaultColWidth="0" defaultRowHeight="15" zeroHeight="1" x14ac:dyDescent="0.25"/>
  <cols>
    <col min="1" max="1" width="4.28515625" style="4" customWidth="1"/>
    <col min="2" max="2" width="15.42578125" style="4" customWidth="1"/>
    <col min="3" max="3" width="20.28515625" style="4" customWidth="1"/>
    <col min="4" max="9" width="12.7109375" style="4" bestFit="1" customWidth="1"/>
    <col min="10" max="12" width="10.28515625" style="4" customWidth="1"/>
    <col min="13" max="13" width="9.42578125" style="4" customWidth="1"/>
    <col min="14" max="14" width="9.140625" style="4" customWidth="1"/>
    <col min="15" max="16384" width="0" style="4" hidden="1"/>
  </cols>
  <sheetData>
    <row r="1" spans="1:14" ht="15.75" thickBot="1" x14ac:dyDescent="0.3">
      <c r="A1" s="536" t="s">
        <v>479</v>
      </c>
      <c r="B1" s="536"/>
      <c r="C1" s="536"/>
      <c r="D1" s="536"/>
      <c r="E1" s="536"/>
      <c r="F1" s="536"/>
      <c r="G1" s="536"/>
      <c r="H1" s="536"/>
      <c r="I1" s="536"/>
      <c r="J1" s="536"/>
      <c r="K1" s="536"/>
      <c r="L1" s="536"/>
      <c r="M1" s="59"/>
      <c r="N1" s="59"/>
    </row>
    <row r="2" spans="1:14" ht="15.75" thickBot="1" x14ac:dyDescent="0.3">
      <c r="A2" s="60"/>
      <c r="B2" s="59"/>
      <c r="C2" s="59"/>
      <c r="D2" s="59"/>
      <c r="E2" s="59"/>
      <c r="F2" s="60"/>
      <c r="G2" s="60"/>
      <c r="H2" s="537" t="s">
        <v>84</v>
      </c>
      <c r="I2" s="538"/>
      <c r="J2" s="538"/>
      <c r="K2" s="539"/>
      <c r="L2" s="60"/>
      <c r="M2" s="59"/>
      <c r="N2" s="59"/>
    </row>
    <row r="3" spans="1:14" x14ac:dyDescent="0.25">
      <c r="A3" s="61" t="s">
        <v>542</v>
      </c>
      <c r="B3" s="60"/>
      <c r="C3" s="60"/>
      <c r="D3" s="59"/>
      <c r="E3" s="59"/>
      <c r="F3" s="60"/>
      <c r="G3" s="60"/>
      <c r="H3" s="62"/>
      <c r="I3" s="63"/>
      <c r="J3" s="63"/>
      <c r="K3" s="64"/>
      <c r="L3" s="60"/>
      <c r="M3" s="59"/>
      <c r="N3" s="59"/>
    </row>
    <row r="4" spans="1:14" x14ac:dyDescent="0.25">
      <c r="A4" s="60"/>
      <c r="B4" s="60"/>
      <c r="C4" s="60"/>
      <c r="D4" s="59"/>
      <c r="E4" s="59"/>
      <c r="F4" s="60"/>
      <c r="G4" s="60"/>
      <c r="H4" s="65"/>
      <c r="I4" s="66"/>
      <c r="J4" s="67" t="s">
        <v>82</v>
      </c>
      <c r="K4" s="68"/>
      <c r="L4" s="60"/>
      <c r="M4" s="59"/>
      <c r="N4" s="59"/>
    </row>
    <row r="5" spans="1:14" x14ac:dyDescent="0.25">
      <c r="A5" s="59"/>
      <c r="B5" s="69" t="s">
        <v>472</v>
      </c>
      <c r="C5" s="70"/>
      <c r="D5" s="549">
        <v>189664</v>
      </c>
      <c r="E5" s="59"/>
      <c r="F5" s="60"/>
      <c r="G5" s="60"/>
      <c r="H5" s="65"/>
      <c r="I5" s="71"/>
      <c r="J5" s="67" t="s">
        <v>94</v>
      </c>
      <c r="K5" s="68"/>
      <c r="L5" s="60"/>
      <c r="M5" s="59"/>
      <c r="N5" s="59"/>
    </row>
    <row r="6" spans="1:14" x14ac:dyDescent="0.25">
      <c r="A6" s="59"/>
      <c r="B6" s="69" t="s">
        <v>473</v>
      </c>
      <c r="C6" s="70"/>
      <c r="D6" s="550"/>
      <c r="E6" s="59"/>
      <c r="F6" s="60"/>
      <c r="G6" s="60"/>
      <c r="H6" s="65"/>
      <c r="I6" s="72"/>
      <c r="J6" s="67" t="s">
        <v>83</v>
      </c>
      <c r="K6" s="68"/>
      <c r="L6" s="60"/>
      <c r="M6" s="59"/>
      <c r="N6" s="59"/>
    </row>
    <row r="7" spans="1:14" ht="15.75" thickBot="1" x14ac:dyDescent="0.3">
      <c r="A7" s="59"/>
      <c r="B7" s="69" t="s">
        <v>474</v>
      </c>
      <c r="C7" s="70"/>
      <c r="D7" s="85"/>
      <c r="E7" s="59"/>
      <c r="F7" s="60"/>
      <c r="G7" s="60"/>
      <c r="H7" s="73"/>
      <c r="I7" s="74"/>
      <c r="J7" s="74"/>
      <c r="K7" s="75"/>
      <c r="L7" s="60"/>
      <c r="M7" s="59"/>
      <c r="N7" s="59"/>
    </row>
    <row r="8" spans="1:14" x14ac:dyDescent="0.25">
      <c r="A8" s="59"/>
      <c r="B8" s="69" t="s">
        <v>475</v>
      </c>
      <c r="C8" s="70"/>
      <c r="D8" s="85"/>
      <c r="E8" s="59"/>
      <c r="F8" s="60"/>
      <c r="G8" s="60"/>
      <c r="H8" s="60"/>
      <c r="I8" s="60"/>
      <c r="J8" s="60"/>
      <c r="K8" s="60"/>
      <c r="L8" s="60"/>
      <c r="M8" s="59"/>
      <c r="N8" s="59"/>
    </row>
    <row r="9" spans="1:14" x14ac:dyDescent="0.25">
      <c r="A9" s="59"/>
      <c r="B9" s="69" t="s">
        <v>476</v>
      </c>
      <c r="C9" s="70"/>
      <c r="D9" s="85"/>
      <c r="E9" s="59"/>
      <c r="F9" s="60"/>
      <c r="G9" s="60"/>
      <c r="H9" s="60"/>
      <c r="I9" s="60"/>
      <c r="J9" s="60"/>
      <c r="K9" s="60"/>
      <c r="L9" s="60"/>
      <c r="M9" s="59"/>
      <c r="N9" s="59"/>
    </row>
    <row r="10" spans="1:14" x14ac:dyDescent="0.25">
      <c r="A10" s="59"/>
      <c r="B10" s="59"/>
      <c r="C10" s="59"/>
      <c r="D10" s="60"/>
      <c r="E10" s="60"/>
      <c r="F10" s="60"/>
      <c r="G10" s="60"/>
      <c r="H10" s="60"/>
      <c r="I10" s="60"/>
      <c r="J10" s="60"/>
      <c r="K10" s="60"/>
      <c r="L10" s="60"/>
      <c r="M10" s="59"/>
      <c r="N10" s="59"/>
    </row>
    <row r="11" spans="1:14" x14ac:dyDescent="0.25">
      <c r="A11" s="59"/>
      <c r="B11" s="76" t="s">
        <v>477</v>
      </c>
      <c r="C11" s="77"/>
      <c r="D11" s="54">
        <f>D5+D6+D7+D8+D9+D57</f>
        <v>189664</v>
      </c>
      <c r="E11" s="60"/>
      <c r="F11" s="60"/>
      <c r="G11" s="60"/>
      <c r="H11" s="60"/>
      <c r="I11" s="60"/>
      <c r="J11" s="60"/>
      <c r="K11" s="60"/>
      <c r="L11" s="60"/>
      <c r="M11" s="59"/>
      <c r="N11" s="59"/>
    </row>
    <row r="12" spans="1:14" x14ac:dyDescent="0.25">
      <c r="A12" s="60"/>
      <c r="B12" s="60"/>
      <c r="C12" s="60"/>
      <c r="D12" s="60"/>
      <c r="E12" s="60"/>
      <c r="F12" s="60"/>
      <c r="G12" s="60"/>
      <c r="H12" s="60"/>
      <c r="I12" s="60"/>
      <c r="J12" s="60"/>
      <c r="K12" s="60"/>
      <c r="L12" s="60"/>
      <c r="M12" s="59"/>
      <c r="N12" s="59"/>
    </row>
    <row r="13" spans="1:14" x14ac:dyDescent="0.25">
      <c r="A13" s="61" t="s">
        <v>478</v>
      </c>
      <c r="B13" s="60"/>
      <c r="C13" s="60"/>
      <c r="D13" s="60"/>
      <c r="E13" s="60"/>
      <c r="F13" s="60"/>
      <c r="G13" s="60"/>
      <c r="H13" s="60"/>
      <c r="I13" s="60"/>
      <c r="J13" s="60"/>
      <c r="K13" s="60"/>
      <c r="L13" s="60"/>
      <c r="M13" s="59"/>
      <c r="N13" s="59"/>
    </row>
    <row r="14" spans="1:14" x14ac:dyDescent="0.25">
      <c r="A14" s="61"/>
      <c r="B14" s="60"/>
      <c r="C14" s="60"/>
      <c r="D14" s="60"/>
      <c r="E14" s="60"/>
      <c r="F14" s="60"/>
      <c r="G14" s="60"/>
      <c r="H14" s="60"/>
      <c r="I14" s="60"/>
      <c r="J14" s="60"/>
      <c r="K14" s="60"/>
      <c r="L14" s="60"/>
      <c r="M14" s="59"/>
      <c r="N14" s="59"/>
    </row>
    <row r="15" spans="1:14" x14ac:dyDescent="0.25">
      <c r="A15" s="78" t="s">
        <v>483</v>
      </c>
      <c r="B15" s="78"/>
      <c r="C15" s="78"/>
      <c r="D15" s="78"/>
      <c r="E15" s="78"/>
      <c r="F15" s="78"/>
      <c r="G15" s="78"/>
      <c r="H15" s="78"/>
      <c r="I15" s="78"/>
      <c r="J15" s="78"/>
      <c r="K15" s="78"/>
      <c r="L15" s="78"/>
      <c r="M15" s="59"/>
      <c r="N15" s="59"/>
    </row>
    <row r="16" spans="1:14" x14ac:dyDescent="0.25">
      <c r="A16" s="78"/>
      <c r="B16" s="78"/>
      <c r="C16" s="78"/>
      <c r="D16" s="78"/>
      <c r="E16" s="78"/>
      <c r="F16" s="78"/>
      <c r="G16" s="78"/>
      <c r="H16" s="78"/>
      <c r="I16" s="78"/>
      <c r="J16" s="78"/>
      <c r="K16" s="78"/>
      <c r="L16" s="78"/>
      <c r="M16" s="59"/>
      <c r="N16" s="59"/>
    </row>
    <row r="17" spans="1:14" ht="15.75" customHeight="1" x14ac:dyDescent="0.25">
      <c r="A17" s="59"/>
      <c r="B17" s="540" t="s">
        <v>471</v>
      </c>
      <c r="C17" s="541"/>
      <c r="D17" s="541"/>
      <c r="E17" s="541"/>
      <c r="F17" s="541"/>
      <c r="G17" s="541"/>
      <c r="H17" s="541"/>
      <c r="I17" s="541"/>
      <c r="J17" s="541"/>
      <c r="K17" s="542"/>
      <c r="L17" s="59"/>
      <c r="M17" s="59"/>
      <c r="N17" s="59"/>
    </row>
    <row r="18" spans="1:14" ht="18" customHeight="1" x14ac:dyDescent="0.25">
      <c r="A18" s="59"/>
      <c r="B18" s="79" t="s">
        <v>461</v>
      </c>
      <c r="C18" s="79" t="s">
        <v>462</v>
      </c>
      <c r="D18" s="79" t="s">
        <v>463</v>
      </c>
      <c r="E18" s="79" t="s">
        <v>464</v>
      </c>
      <c r="F18" s="79" t="s">
        <v>465</v>
      </c>
      <c r="G18" s="79" t="s">
        <v>466</v>
      </c>
      <c r="H18" s="79" t="s">
        <v>467</v>
      </c>
      <c r="I18" s="79" t="s">
        <v>468</v>
      </c>
      <c r="J18" s="79" t="s">
        <v>469</v>
      </c>
      <c r="K18" s="79" t="s">
        <v>470</v>
      </c>
      <c r="L18" s="59"/>
      <c r="M18" s="59"/>
      <c r="N18" s="59"/>
    </row>
    <row r="19" spans="1:14" ht="15" customHeight="1" x14ac:dyDescent="0.25">
      <c r="A19" s="59"/>
      <c r="B19" s="57">
        <v>3.5</v>
      </c>
      <c r="C19" s="57"/>
      <c r="D19" s="57"/>
      <c r="E19" s="57"/>
      <c r="F19" s="57"/>
      <c r="G19" s="57"/>
      <c r="H19" s="57"/>
      <c r="I19" s="57"/>
      <c r="J19" s="57"/>
      <c r="K19" s="57"/>
      <c r="L19" s="59"/>
      <c r="M19" s="59"/>
      <c r="N19" s="59"/>
    </row>
    <row r="20" spans="1:14" x14ac:dyDescent="0.25">
      <c r="A20" s="59"/>
      <c r="B20" s="80"/>
      <c r="C20" s="80"/>
      <c r="D20" s="80"/>
      <c r="E20" s="80"/>
      <c r="F20" s="80"/>
      <c r="G20" s="80"/>
      <c r="H20" s="80"/>
      <c r="I20" s="80"/>
      <c r="J20" s="80"/>
      <c r="K20" s="80"/>
      <c r="L20" s="80"/>
      <c r="M20" s="81"/>
      <c r="N20" s="59"/>
    </row>
    <row r="21" spans="1:14" x14ac:dyDescent="0.25">
      <c r="A21" s="60" t="s">
        <v>480</v>
      </c>
      <c r="B21" s="60"/>
      <c r="C21" s="60"/>
      <c r="D21" s="60"/>
      <c r="E21" s="60"/>
      <c r="F21" s="80"/>
      <c r="G21" s="80"/>
      <c r="H21" s="80"/>
      <c r="I21" s="80"/>
      <c r="J21" s="80"/>
      <c r="K21" s="80"/>
      <c r="L21" s="80"/>
      <c r="M21" s="81"/>
      <c r="N21" s="59"/>
    </row>
    <row r="22" spans="1:14" x14ac:dyDescent="0.25">
      <c r="A22" s="82"/>
      <c r="B22" s="547" t="s">
        <v>214</v>
      </c>
      <c r="C22" s="547"/>
      <c r="D22" s="56"/>
      <c r="E22" s="60" t="s">
        <v>481</v>
      </c>
      <c r="F22" s="80"/>
      <c r="G22" s="80"/>
      <c r="H22" s="80"/>
      <c r="I22" s="80"/>
      <c r="J22" s="80"/>
      <c r="K22" s="80"/>
      <c r="L22" s="80"/>
      <c r="M22" s="81"/>
      <c r="N22" s="59"/>
    </row>
    <row r="23" spans="1:14" ht="15" customHeight="1" x14ac:dyDescent="0.25">
      <c r="A23" s="82"/>
      <c r="B23" s="548" t="s">
        <v>229</v>
      </c>
      <c r="C23" s="548"/>
      <c r="D23" s="56" t="s">
        <v>395</v>
      </c>
      <c r="E23" s="60" t="s">
        <v>482</v>
      </c>
      <c r="F23" s="80"/>
      <c r="G23" s="80"/>
      <c r="H23" s="80"/>
      <c r="I23" s="80"/>
      <c r="J23" s="80"/>
      <c r="K23" s="80"/>
      <c r="L23" s="80"/>
      <c r="M23" s="81"/>
      <c r="N23" s="59"/>
    </row>
    <row r="24" spans="1:14" x14ac:dyDescent="0.25">
      <c r="A24" s="59"/>
      <c r="B24" s="80"/>
      <c r="C24" s="80"/>
      <c r="D24" s="80"/>
      <c r="E24" s="80"/>
      <c r="F24" s="80"/>
      <c r="G24" s="80"/>
      <c r="H24" s="80"/>
      <c r="I24" s="80"/>
      <c r="J24" s="80"/>
      <c r="K24" s="80"/>
      <c r="L24" s="80"/>
      <c r="M24" s="81"/>
      <c r="N24" s="59"/>
    </row>
    <row r="25" spans="1:14" x14ac:dyDescent="0.25">
      <c r="A25" s="78" t="s">
        <v>497</v>
      </c>
      <c r="B25" s="78"/>
      <c r="C25" s="78"/>
      <c r="D25" s="78"/>
      <c r="E25" s="78"/>
      <c r="F25" s="78"/>
      <c r="G25" s="78"/>
      <c r="H25" s="78"/>
      <c r="I25" s="78"/>
      <c r="J25" s="78"/>
      <c r="K25" s="78"/>
      <c r="L25" s="78"/>
      <c r="M25" s="81"/>
      <c r="N25" s="59"/>
    </row>
    <row r="26" spans="1:14" x14ac:dyDescent="0.25">
      <c r="A26" s="78"/>
      <c r="B26" s="78"/>
      <c r="C26" s="78"/>
      <c r="D26" s="78"/>
      <c r="E26" s="78"/>
      <c r="F26" s="78"/>
      <c r="G26" s="78"/>
      <c r="H26" s="78"/>
      <c r="I26" s="78"/>
      <c r="J26" s="78"/>
      <c r="K26" s="78"/>
      <c r="L26" s="78"/>
      <c r="M26" s="81"/>
      <c r="N26" s="59"/>
    </row>
    <row r="27" spans="1:14" x14ac:dyDescent="0.25">
      <c r="A27" s="59"/>
      <c r="B27" s="80"/>
      <c r="C27" s="543" t="s">
        <v>496</v>
      </c>
      <c r="D27" s="543"/>
      <c r="E27" s="543"/>
      <c r="F27" s="543"/>
      <c r="G27" s="543"/>
      <c r="H27" s="543"/>
      <c r="I27" s="543"/>
      <c r="J27" s="543"/>
      <c r="K27" s="543"/>
      <c r="L27" s="543"/>
      <c r="M27" s="59"/>
      <c r="N27" s="59"/>
    </row>
    <row r="28" spans="1:14" ht="18" customHeight="1" x14ac:dyDescent="0.25">
      <c r="A28" s="59"/>
      <c r="B28" s="80"/>
      <c r="C28" s="79" t="s">
        <v>461</v>
      </c>
      <c r="D28" s="79" t="s">
        <v>462</v>
      </c>
      <c r="E28" s="79" t="s">
        <v>463</v>
      </c>
      <c r="F28" s="79" t="s">
        <v>464</v>
      </c>
      <c r="G28" s="79" t="s">
        <v>465</v>
      </c>
      <c r="H28" s="79" t="s">
        <v>466</v>
      </c>
      <c r="I28" s="79" t="s">
        <v>467</v>
      </c>
      <c r="J28" s="79" t="s">
        <v>468</v>
      </c>
      <c r="K28" s="79" t="s">
        <v>469</v>
      </c>
      <c r="L28" s="79" t="s">
        <v>470</v>
      </c>
      <c r="M28" s="59"/>
      <c r="N28" s="59"/>
    </row>
    <row r="29" spans="1:14" x14ac:dyDescent="0.25">
      <c r="A29" s="544" t="s">
        <v>0</v>
      </c>
      <c r="B29" s="79" t="s">
        <v>484</v>
      </c>
      <c r="C29" s="58"/>
      <c r="D29" s="58"/>
      <c r="E29" s="58"/>
      <c r="F29" s="58"/>
      <c r="G29" s="58"/>
      <c r="H29" s="58"/>
      <c r="I29" s="58"/>
      <c r="J29" s="58"/>
      <c r="K29" s="58"/>
      <c r="L29" s="58"/>
      <c r="M29" s="59"/>
      <c r="N29" s="59"/>
    </row>
    <row r="30" spans="1:14" x14ac:dyDescent="0.25">
      <c r="A30" s="545"/>
      <c r="B30" s="79" t="s">
        <v>485</v>
      </c>
      <c r="C30" s="58"/>
      <c r="D30" s="58"/>
      <c r="E30" s="58"/>
      <c r="F30" s="58"/>
      <c r="G30" s="58"/>
      <c r="H30" s="58"/>
      <c r="I30" s="58"/>
      <c r="J30" s="58"/>
      <c r="K30" s="58"/>
      <c r="L30" s="58"/>
      <c r="M30" s="59"/>
      <c r="N30" s="59"/>
    </row>
    <row r="31" spans="1:14" x14ac:dyDescent="0.25">
      <c r="A31" s="545"/>
      <c r="B31" s="79" t="s">
        <v>486</v>
      </c>
      <c r="C31" s="58"/>
      <c r="D31" s="58"/>
      <c r="E31" s="58"/>
      <c r="F31" s="58"/>
      <c r="G31" s="58"/>
      <c r="H31" s="58"/>
      <c r="I31" s="58"/>
      <c r="J31" s="58"/>
      <c r="K31" s="58"/>
      <c r="L31" s="58"/>
      <c r="M31" s="59"/>
      <c r="N31" s="59"/>
    </row>
    <row r="32" spans="1:14" x14ac:dyDescent="0.25">
      <c r="A32" s="545"/>
      <c r="B32" s="79" t="s">
        <v>487</v>
      </c>
      <c r="C32" s="58"/>
      <c r="D32" s="58"/>
      <c r="E32" s="58"/>
      <c r="F32" s="58"/>
      <c r="G32" s="58"/>
      <c r="H32" s="58"/>
      <c r="I32" s="58"/>
      <c r="J32" s="58"/>
      <c r="K32" s="58"/>
      <c r="L32" s="58"/>
      <c r="M32" s="59"/>
      <c r="N32" s="59"/>
    </row>
    <row r="33" spans="1:14" x14ac:dyDescent="0.25">
      <c r="A33" s="545"/>
      <c r="B33" s="79" t="s">
        <v>488</v>
      </c>
      <c r="C33" s="58"/>
      <c r="D33" s="58"/>
      <c r="E33" s="58"/>
      <c r="F33" s="58"/>
      <c r="G33" s="58"/>
      <c r="H33" s="58"/>
      <c r="I33" s="58"/>
      <c r="J33" s="58"/>
      <c r="K33" s="58"/>
      <c r="L33" s="58"/>
      <c r="M33" s="59"/>
      <c r="N33" s="59"/>
    </row>
    <row r="34" spans="1:14" x14ac:dyDescent="0.25">
      <c r="A34" s="545"/>
      <c r="B34" s="79" t="s">
        <v>489</v>
      </c>
      <c r="C34" s="58"/>
      <c r="D34" s="58"/>
      <c r="E34" s="58"/>
      <c r="F34" s="58"/>
      <c r="G34" s="58"/>
      <c r="H34" s="58"/>
      <c r="I34" s="58"/>
      <c r="J34" s="58"/>
      <c r="K34" s="58"/>
      <c r="L34" s="58"/>
      <c r="M34" s="59"/>
      <c r="N34" s="59"/>
    </row>
    <row r="35" spans="1:14" x14ac:dyDescent="0.25">
      <c r="A35" s="545"/>
      <c r="B35" s="79" t="s">
        <v>490</v>
      </c>
      <c r="C35" s="58"/>
      <c r="D35" s="58"/>
      <c r="E35" s="58"/>
      <c r="F35" s="58"/>
      <c r="G35" s="58"/>
      <c r="H35" s="58"/>
      <c r="I35" s="58"/>
      <c r="J35" s="58"/>
      <c r="K35" s="58"/>
      <c r="L35" s="58"/>
      <c r="M35" s="59"/>
      <c r="N35" s="59"/>
    </row>
    <row r="36" spans="1:14" x14ac:dyDescent="0.25">
      <c r="A36" s="545"/>
      <c r="B36" s="79" t="s">
        <v>491</v>
      </c>
      <c r="C36" s="58"/>
      <c r="D36" s="58"/>
      <c r="E36" s="58"/>
      <c r="F36" s="58"/>
      <c r="G36" s="58"/>
      <c r="H36" s="58"/>
      <c r="I36" s="58"/>
      <c r="J36" s="58"/>
      <c r="K36" s="58"/>
      <c r="L36" s="58"/>
      <c r="M36" s="59"/>
      <c r="N36" s="59"/>
    </row>
    <row r="37" spans="1:14" ht="15" customHeight="1" x14ac:dyDescent="0.25">
      <c r="A37" s="545"/>
      <c r="B37" s="79" t="s">
        <v>492</v>
      </c>
      <c r="C37" s="58"/>
      <c r="D37" s="58"/>
      <c r="E37" s="58"/>
      <c r="F37" s="58"/>
      <c r="G37" s="58"/>
      <c r="H37" s="58"/>
      <c r="I37" s="58"/>
      <c r="J37" s="58"/>
      <c r="K37" s="58"/>
      <c r="L37" s="58"/>
      <c r="M37" s="59"/>
      <c r="N37" s="59"/>
    </row>
    <row r="38" spans="1:14" x14ac:dyDescent="0.25">
      <c r="A38" s="545"/>
      <c r="B38" s="79" t="s">
        <v>493</v>
      </c>
      <c r="C38" s="58"/>
      <c r="D38" s="58"/>
      <c r="E38" s="58"/>
      <c r="F38" s="58"/>
      <c r="G38" s="58"/>
      <c r="H38" s="58"/>
      <c r="I38" s="58"/>
      <c r="J38" s="58"/>
      <c r="K38" s="58"/>
      <c r="L38" s="58"/>
      <c r="M38" s="59"/>
      <c r="N38" s="59"/>
    </row>
    <row r="39" spans="1:14" x14ac:dyDescent="0.25">
      <c r="A39" s="545"/>
      <c r="B39" s="79" t="s">
        <v>494</v>
      </c>
      <c r="C39" s="58"/>
      <c r="D39" s="58"/>
      <c r="E39" s="58"/>
      <c r="F39" s="58"/>
      <c r="G39" s="58"/>
      <c r="H39" s="58"/>
      <c r="I39" s="58"/>
      <c r="J39" s="58"/>
      <c r="K39" s="58"/>
      <c r="L39" s="58"/>
      <c r="M39" s="59"/>
      <c r="N39" s="59"/>
    </row>
    <row r="40" spans="1:14" x14ac:dyDescent="0.25">
      <c r="A40" s="546"/>
      <c r="B40" s="79" t="s">
        <v>495</v>
      </c>
      <c r="C40" s="58"/>
      <c r="D40" s="58"/>
      <c r="E40" s="58"/>
      <c r="F40" s="58"/>
      <c r="G40" s="58"/>
      <c r="H40" s="58"/>
      <c r="I40" s="58"/>
      <c r="J40" s="58"/>
      <c r="K40" s="58"/>
      <c r="L40" s="58"/>
      <c r="M40" s="59"/>
      <c r="N40" s="59"/>
    </row>
    <row r="41" spans="1:14" x14ac:dyDescent="0.25">
      <c r="A41" s="59"/>
      <c r="B41" s="80"/>
      <c r="C41" s="80"/>
      <c r="D41" s="80"/>
      <c r="E41" s="80"/>
      <c r="F41" s="80"/>
      <c r="G41" s="80"/>
      <c r="H41" s="80"/>
      <c r="I41" s="80"/>
      <c r="J41" s="80"/>
      <c r="K41" s="80"/>
      <c r="L41" s="80"/>
      <c r="M41" s="59"/>
      <c r="N41" s="59"/>
    </row>
    <row r="42" spans="1:14" x14ac:dyDescent="0.25">
      <c r="A42" s="78" t="s">
        <v>498</v>
      </c>
      <c r="B42" s="78"/>
      <c r="C42" s="78"/>
      <c r="D42" s="78"/>
      <c r="E42" s="78"/>
      <c r="F42" s="78"/>
      <c r="G42" s="78"/>
      <c r="H42" s="78"/>
      <c r="I42" s="78"/>
      <c r="J42" s="78"/>
      <c r="K42" s="78"/>
      <c r="L42" s="78"/>
      <c r="M42" s="59"/>
      <c r="N42" s="59"/>
    </row>
    <row r="43" spans="1:14" x14ac:dyDescent="0.25">
      <c r="A43" s="60"/>
      <c r="B43" s="60"/>
      <c r="C43" s="60"/>
      <c r="D43" s="60"/>
      <c r="E43" s="60"/>
      <c r="F43" s="60"/>
      <c r="G43" s="60"/>
      <c r="H43" s="60"/>
      <c r="I43" s="60"/>
      <c r="J43" s="60"/>
      <c r="K43" s="60"/>
      <c r="L43" s="60"/>
      <c r="M43" s="59"/>
      <c r="N43" s="59"/>
    </row>
    <row r="44" spans="1:14" ht="18" customHeight="1" x14ac:dyDescent="0.25">
      <c r="A44" s="60"/>
      <c r="B44" s="60"/>
      <c r="C44" s="79" t="s">
        <v>461</v>
      </c>
      <c r="D44" s="79" t="s">
        <v>462</v>
      </c>
      <c r="E44" s="79" t="s">
        <v>463</v>
      </c>
      <c r="F44" s="79" t="s">
        <v>464</v>
      </c>
      <c r="G44" s="79" t="s">
        <v>465</v>
      </c>
      <c r="H44" s="79" t="s">
        <v>466</v>
      </c>
      <c r="I44" s="79" t="s">
        <v>467</v>
      </c>
      <c r="J44" s="79" t="s">
        <v>468</v>
      </c>
      <c r="K44" s="79" t="s">
        <v>469</v>
      </c>
      <c r="L44" s="79" t="s">
        <v>470</v>
      </c>
      <c r="M44" s="83"/>
      <c r="N44" s="59"/>
    </row>
    <row r="45" spans="1:14" x14ac:dyDescent="0.25">
      <c r="A45" s="551" t="s">
        <v>228</v>
      </c>
      <c r="B45" s="551"/>
      <c r="C45" s="549">
        <v>189664</v>
      </c>
      <c r="D45" s="549"/>
      <c r="E45" s="549"/>
      <c r="F45" s="549"/>
      <c r="G45" s="549"/>
      <c r="H45" s="549"/>
      <c r="I45" s="549"/>
      <c r="J45" s="549"/>
      <c r="K45" s="549"/>
      <c r="L45" s="549"/>
      <c r="M45" s="83"/>
      <c r="N45" s="59"/>
    </row>
    <row r="46" spans="1:14" x14ac:dyDescent="0.25">
      <c r="A46" s="551"/>
      <c r="B46" s="551"/>
      <c r="C46" s="550"/>
      <c r="D46" s="550"/>
      <c r="E46" s="550"/>
      <c r="F46" s="550"/>
      <c r="G46" s="550"/>
      <c r="H46" s="550"/>
      <c r="I46" s="550"/>
      <c r="J46" s="550"/>
      <c r="K46" s="550"/>
      <c r="L46" s="550"/>
      <c r="M46" s="83"/>
      <c r="N46" s="59"/>
    </row>
    <row r="47" spans="1:14" x14ac:dyDescent="0.25">
      <c r="A47" s="59"/>
      <c r="B47" s="59"/>
      <c r="C47" s="59"/>
      <c r="D47" s="59"/>
      <c r="E47" s="59"/>
      <c r="F47" s="59"/>
      <c r="G47" s="59"/>
      <c r="H47" s="59"/>
      <c r="I47" s="59"/>
      <c r="J47" s="59"/>
      <c r="K47" s="59"/>
      <c r="L47" s="59"/>
      <c r="M47" s="59"/>
      <c r="N47" s="59"/>
    </row>
    <row r="48" spans="1:14" x14ac:dyDescent="0.25">
      <c r="A48" s="552" t="s">
        <v>499</v>
      </c>
      <c r="B48" s="552"/>
      <c r="C48" s="552"/>
      <c r="D48" s="552"/>
      <c r="E48" s="552"/>
      <c r="F48" s="552"/>
      <c r="G48" s="552"/>
      <c r="H48" s="552"/>
      <c r="I48" s="552"/>
      <c r="J48" s="552"/>
      <c r="K48" s="552"/>
      <c r="L48" s="552"/>
      <c r="M48" s="59"/>
      <c r="N48" s="59"/>
    </row>
    <row r="49" spans="1:14" x14ac:dyDescent="0.25">
      <c r="A49" s="60"/>
      <c r="B49" s="60"/>
      <c r="C49" s="60"/>
      <c r="D49" s="60"/>
      <c r="E49" s="60"/>
      <c r="F49" s="60"/>
      <c r="G49" s="60"/>
      <c r="H49" s="60"/>
      <c r="I49" s="60"/>
      <c r="J49" s="60"/>
      <c r="K49" s="60"/>
      <c r="L49" s="60"/>
      <c r="M49" s="59"/>
      <c r="N49" s="59"/>
    </row>
    <row r="50" spans="1:14" x14ac:dyDescent="0.25">
      <c r="A50" s="59"/>
      <c r="B50" s="59"/>
      <c r="C50" s="535" t="s">
        <v>500</v>
      </c>
      <c r="D50" s="535"/>
      <c r="E50" s="535"/>
      <c r="F50" s="535"/>
      <c r="G50" s="535"/>
      <c r="H50" s="535"/>
      <c r="I50" s="535"/>
      <c r="J50" s="535"/>
      <c r="K50" s="535"/>
      <c r="L50" s="535"/>
      <c r="M50" s="59"/>
      <c r="N50" s="59"/>
    </row>
    <row r="51" spans="1:14" ht="18" x14ac:dyDescent="0.25">
      <c r="A51" s="59"/>
      <c r="B51" s="59"/>
      <c r="C51" s="84" t="s">
        <v>31</v>
      </c>
      <c r="D51" s="84" t="s">
        <v>32</v>
      </c>
      <c r="E51" s="84" t="s">
        <v>33</v>
      </c>
      <c r="F51" s="84" t="s">
        <v>34</v>
      </c>
      <c r="G51" s="84" t="s">
        <v>35</v>
      </c>
      <c r="H51" s="84" t="s">
        <v>36</v>
      </c>
      <c r="I51" s="84" t="s">
        <v>37</v>
      </c>
      <c r="J51" s="84" t="s">
        <v>38</v>
      </c>
      <c r="K51" s="84" t="s">
        <v>39</v>
      </c>
      <c r="L51" s="84" t="s">
        <v>40</v>
      </c>
      <c r="M51" s="59"/>
      <c r="N51" s="59"/>
    </row>
    <row r="52" spans="1:14" x14ac:dyDescent="0.25">
      <c r="A52" s="59"/>
      <c r="B52" s="59"/>
      <c r="C52" s="55">
        <f t="shared" ref="C52:L52" si="0">IFERROR(IF($D$22&lt;&gt;0,AVERAGE(C29:C40)*B19,C45*B19),"")</f>
        <v>663824</v>
      </c>
      <c r="D52" s="55">
        <f t="shared" si="0"/>
        <v>0</v>
      </c>
      <c r="E52" s="55">
        <f t="shared" si="0"/>
        <v>0</v>
      </c>
      <c r="F52" s="55">
        <f t="shared" si="0"/>
        <v>0</v>
      </c>
      <c r="G52" s="55">
        <f t="shared" si="0"/>
        <v>0</v>
      </c>
      <c r="H52" s="55">
        <f t="shared" si="0"/>
        <v>0</v>
      </c>
      <c r="I52" s="55">
        <f t="shared" si="0"/>
        <v>0</v>
      </c>
      <c r="J52" s="55">
        <f t="shared" si="0"/>
        <v>0</v>
      </c>
      <c r="K52" s="55">
        <f t="shared" si="0"/>
        <v>0</v>
      </c>
      <c r="L52" s="55">
        <f t="shared" si="0"/>
        <v>0</v>
      </c>
      <c r="M52" s="59"/>
      <c r="N52" s="59"/>
    </row>
    <row r="53" spans="1:14" x14ac:dyDescent="0.25">
      <c r="A53" s="59"/>
      <c r="B53" s="59"/>
      <c r="C53" s="59"/>
      <c r="D53" s="59"/>
      <c r="E53" s="59"/>
      <c r="F53" s="59"/>
      <c r="G53" s="59"/>
      <c r="H53" s="59"/>
      <c r="I53" s="59"/>
      <c r="J53" s="59"/>
      <c r="K53" s="59"/>
      <c r="L53" s="59"/>
      <c r="M53" s="59"/>
      <c r="N53" s="59"/>
    </row>
    <row r="54" spans="1:14" x14ac:dyDescent="0.25">
      <c r="A54" s="59"/>
      <c r="B54" s="59"/>
      <c r="C54" s="59"/>
      <c r="D54" s="59"/>
      <c r="E54" s="59"/>
      <c r="F54" s="59"/>
      <c r="G54" s="59"/>
      <c r="H54" s="59"/>
      <c r="I54" s="59"/>
      <c r="J54" s="59"/>
      <c r="K54" s="59"/>
      <c r="L54" s="59"/>
      <c r="M54" s="59"/>
      <c r="N54" s="59"/>
    </row>
    <row r="55" spans="1:14" x14ac:dyDescent="0.25">
      <c r="A55" s="78" t="s">
        <v>865</v>
      </c>
      <c r="B55" s="78"/>
      <c r="C55" s="78"/>
      <c r="D55" s="78"/>
      <c r="E55" s="78"/>
      <c r="F55" s="78"/>
      <c r="G55" s="78"/>
      <c r="H55" s="78"/>
      <c r="I55" s="78"/>
      <c r="J55" s="78"/>
      <c r="K55" s="78"/>
      <c r="L55" s="78"/>
      <c r="M55" s="59"/>
      <c r="N55" s="59"/>
    </row>
    <row r="56" spans="1:14" x14ac:dyDescent="0.25">
      <c r="A56" s="59"/>
      <c r="B56" s="59"/>
      <c r="C56" s="59"/>
      <c r="D56" s="59"/>
      <c r="E56" s="59"/>
      <c r="F56" s="59"/>
      <c r="G56" s="59"/>
      <c r="H56" s="59"/>
      <c r="I56" s="59"/>
      <c r="J56" s="59"/>
      <c r="K56" s="59"/>
      <c r="L56" s="59"/>
      <c r="M56" s="59"/>
      <c r="N56" s="59"/>
    </row>
    <row r="57" spans="1:14" x14ac:dyDescent="0.25">
      <c r="A57" s="59"/>
      <c r="B57" s="69" t="s">
        <v>854</v>
      </c>
      <c r="C57" s="70"/>
      <c r="D57" s="86"/>
      <c r="E57" s="59"/>
      <c r="F57" s="59"/>
      <c r="G57" s="59"/>
      <c r="H57" s="59"/>
      <c r="I57" s="59"/>
      <c r="J57" s="59"/>
      <c r="K57" s="59"/>
      <c r="L57" s="59"/>
      <c r="M57" s="59"/>
      <c r="N57" s="59"/>
    </row>
    <row r="58" spans="1:14" x14ac:dyDescent="0.25">
      <c r="A58" s="59"/>
      <c r="B58" s="59"/>
      <c r="C58" s="59"/>
      <c r="D58" s="59"/>
      <c r="E58" s="59"/>
      <c r="F58" s="59"/>
      <c r="G58" s="59"/>
      <c r="H58" s="59"/>
      <c r="I58" s="59"/>
      <c r="J58" s="59"/>
      <c r="K58" s="59"/>
      <c r="L58" s="59"/>
      <c r="M58" s="59"/>
      <c r="N58" s="59"/>
    </row>
    <row r="59" spans="1:14" x14ac:dyDescent="0.25">
      <c r="A59" s="59"/>
      <c r="B59" s="59"/>
      <c r="C59" s="59"/>
      <c r="D59" s="59"/>
      <c r="E59" s="59"/>
      <c r="F59" s="59"/>
      <c r="G59" s="59"/>
      <c r="H59" s="59"/>
      <c r="I59" s="59"/>
      <c r="J59" s="59"/>
      <c r="K59" s="59"/>
      <c r="L59" s="59"/>
      <c r="M59" s="59"/>
      <c r="N59" s="59"/>
    </row>
    <row r="60" spans="1:14" x14ac:dyDescent="0.25">
      <c r="A60" s="59"/>
      <c r="B60" s="59"/>
      <c r="C60" s="59"/>
      <c r="D60" s="59"/>
      <c r="E60" s="59"/>
      <c r="F60" s="59"/>
      <c r="G60" s="59"/>
      <c r="H60" s="59"/>
      <c r="I60" s="59"/>
      <c r="J60" s="59"/>
      <c r="K60" s="59"/>
      <c r="L60" s="59"/>
      <c r="M60" s="59"/>
      <c r="N60" s="59"/>
    </row>
  </sheetData>
  <sheetProtection password="E299" sheet="1"/>
  <mergeCells count="21">
    <mergeCell ref="J45:J46"/>
    <mergeCell ref="F45:F46"/>
    <mergeCell ref="G45:G46"/>
    <mergeCell ref="H45:H46"/>
    <mergeCell ref="I45:I46"/>
    <mergeCell ref="C50:L50"/>
    <mergeCell ref="A1:L1"/>
    <mergeCell ref="H2:K2"/>
    <mergeCell ref="B17:K17"/>
    <mergeCell ref="C27:L27"/>
    <mergeCell ref="A29:A40"/>
    <mergeCell ref="B22:C22"/>
    <mergeCell ref="B23:C23"/>
    <mergeCell ref="D5:D6"/>
    <mergeCell ref="A45:B46"/>
    <mergeCell ref="C45:C46"/>
    <mergeCell ref="D45:D46"/>
    <mergeCell ref="E45:E46"/>
    <mergeCell ref="A48:L48"/>
    <mergeCell ref="K45:K46"/>
    <mergeCell ref="L45:L46"/>
  </mergeCells>
  <phoneticPr fontId="0" type="noConversion"/>
  <pageMargins left="0.19685039370078741" right="0.19685039370078741" top="0.74803149606299213" bottom="0.74803149606299213" header="0.31496062992125984" footer="0.31496062992125984"/>
  <pageSetup paperSize="9" scale="80" orientation="landscape"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0">
    <tabColor theme="6" tint="0.39997558519241921"/>
  </sheetPr>
  <dimension ref="A1:K12"/>
  <sheetViews>
    <sheetView showGridLines="0" workbookViewId="0">
      <selection activeCell="B12" sqref="B12:E12"/>
    </sheetView>
  </sheetViews>
  <sheetFormatPr defaultRowHeight="12.75" x14ac:dyDescent="0.2"/>
  <cols>
    <col min="1" max="6" width="9.140625" customWidth="1"/>
    <col min="7" max="7" width="5.140625" customWidth="1"/>
    <col min="8" max="8" width="9.140625" customWidth="1"/>
    <col min="9" max="9" width="12.28515625" customWidth="1"/>
    <col min="10" max="10" width="10.140625" customWidth="1"/>
  </cols>
  <sheetData>
    <row r="1" spans="1:11" ht="15" x14ac:dyDescent="0.25">
      <c r="A1" s="5" t="s">
        <v>698</v>
      </c>
    </row>
    <row r="3" spans="1:11" s="4" customFormat="1" ht="15" x14ac:dyDescent="0.25">
      <c r="A3" s="6" t="s">
        <v>710</v>
      </c>
      <c r="B3" s="7" t="s">
        <v>791</v>
      </c>
    </row>
    <row r="4" spans="1:11" s="4" customFormat="1" ht="15.75" thickBot="1" x14ac:dyDescent="0.3">
      <c r="A4" s="7"/>
      <c r="B4" s="7"/>
    </row>
    <row r="5" spans="1:11" s="4" customFormat="1" ht="16.5" customHeight="1" thickBot="1" x14ac:dyDescent="0.3">
      <c r="B5" s="710" t="s">
        <v>225</v>
      </c>
      <c r="C5" s="711"/>
      <c r="D5" s="711"/>
      <c r="E5" s="712"/>
      <c r="F5" s="713" t="s">
        <v>402</v>
      </c>
      <c r="H5" s="42" t="s">
        <v>84</v>
      </c>
      <c r="I5" s="43"/>
      <c r="J5" s="43"/>
      <c r="K5" s="44"/>
    </row>
    <row r="6" spans="1:11" s="4" customFormat="1" ht="15.75" customHeight="1" x14ac:dyDescent="0.25">
      <c r="B6" s="710" t="s">
        <v>900</v>
      </c>
      <c r="C6" s="711"/>
      <c r="D6" s="711"/>
      <c r="E6" s="712"/>
      <c r="F6" s="714"/>
      <c r="H6" s="18"/>
      <c r="I6" s="20"/>
      <c r="J6" s="20"/>
      <c r="K6" s="19"/>
    </row>
    <row r="7" spans="1:11" s="4" customFormat="1" ht="15.75" customHeight="1" x14ac:dyDescent="0.25">
      <c r="B7" s="715" t="s">
        <v>794</v>
      </c>
      <c r="C7" s="716"/>
      <c r="D7" s="716"/>
      <c r="E7" s="717"/>
      <c r="F7" s="297">
        <v>0.06</v>
      </c>
      <c r="H7" s="8"/>
      <c r="I7" s="1"/>
      <c r="J7" s="14" t="s">
        <v>82</v>
      </c>
      <c r="K7" s="9"/>
    </row>
    <row r="8" spans="1:11" s="4" customFormat="1" ht="15" customHeight="1" x14ac:dyDescent="0.25">
      <c r="B8" s="715" t="s">
        <v>795</v>
      </c>
      <c r="C8" s="716"/>
      <c r="D8" s="716"/>
      <c r="E8" s="717"/>
      <c r="F8" s="297">
        <v>7.0000000000000007E-2</v>
      </c>
      <c r="H8" s="8"/>
      <c r="I8" s="2"/>
      <c r="J8" s="14" t="s">
        <v>94</v>
      </c>
      <c r="K8" s="9"/>
    </row>
    <row r="9" spans="1:11" s="4" customFormat="1" ht="15.75" x14ac:dyDescent="0.25">
      <c r="B9" s="715" t="s">
        <v>403</v>
      </c>
      <c r="C9" s="716"/>
      <c r="D9" s="716"/>
      <c r="E9" s="717"/>
      <c r="F9" s="297">
        <v>0.08</v>
      </c>
      <c r="H9" s="8"/>
      <c r="I9" s="13"/>
      <c r="J9" s="14" t="s">
        <v>83</v>
      </c>
      <c r="K9" s="9"/>
    </row>
    <row r="10" spans="1:11" s="4" customFormat="1" ht="16.5" thickBot="1" x14ac:dyDescent="0.3">
      <c r="B10" s="715" t="s">
        <v>796</v>
      </c>
      <c r="C10" s="716"/>
      <c r="D10" s="716"/>
      <c r="E10" s="717"/>
      <c r="F10" s="297">
        <v>0.09</v>
      </c>
      <c r="H10" s="10"/>
      <c r="I10" s="11"/>
      <c r="J10" s="11"/>
      <c r="K10" s="12"/>
    </row>
    <row r="11" spans="1:11" s="4" customFormat="1" ht="15.75" x14ac:dyDescent="0.25">
      <c r="B11" s="715" t="s">
        <v>797</v>
      </c>
      <c r="C11" s="716"/>
      <c r="D11" s="716"/>
      <c r="E11" s="717"/>
      <c r="F11" s="297">
        <v>0.1</v>
      </c>
    </row>
    <row r="12" spans="1:11" ht="15.75" x14ac:dyDescent="0.25">
      <c r="B12" s="709" t="s">
        <v>404</v>
      </c>
      <c r="C12" s="709"/>
      <c r="D12" s="709"/>
      <c r="E12" s="709"/>
      <c r="F12" s="297">
        <v>0.12</v>
      </c>
    </row>
  </sheetData>
  <sheetProtection password="E299" sheet="1"/>
  <mergeCells count="9">
    <mergeCell ref="B12:E12"/>
    <mergeCell ref="B5:E5"/>
    <mergeCell ref="B6:E6"/>
    <mergeCell ref="F5:F6"/>
    <mergeCell ref="B7:E7"/>
    <mergeCell ref="B8:E8"/>
    <mergeCell ref="B9:E9"/>
    <mergeCell ref="B10:E10"/>
    <mergeCell ref="B11:E11"/>
  </mergeCells>
  <pageMargins left="0.511811024" right="0.511811024" top="0.78740157499999996" bottom="0.78740157499999996" header="0.31496062000000002" footer="0.31496062000000002"/>
  <pageSetup paperSize="9" orientation="landscape" verticalDpi="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1">
    <tabColor theme="6" tint="0.39997558519241921"/>
  </sheetPr>
  <dimension ref="A1:K11"/>
  <sheetViews>
    <sheetView showGridLines="0" workbookViewId="0">
      <selection activeCell="G18" sqref="G18"/>
    </sheetView>
  </sheetViews>
  <sheetFormatPr defaultColWidth="9.140625" defaultRowHeight="12.75" x14ac:dyDescent="0.2"/>
  <cols>
    <col min="1" max="1" width="6.7109375" style="139" bestFit="1" customWidth="1"/>
    <col min="2" max="4" width="9.140625" style="139" customWidth="1"/>
    <col min="5" max="5" width="12.42578125" style="139" customWidth="1"/>
    <col min="6" max="6" width="17.85546875" style="139" customWidth="1"/>
    <col min="7" max="7" width="9.140625" style="139" customWidth="1"/>
    <col min="8" max="8" width="1.5703125" style="139" customWidth="1"/>
    <col min="9" max="9" width="9.140625" style="139" customWidth="1"/>
    <col min="10" max="10" width="38.7109375" style="139" customWidth="1"/>
    <col min="11" max="11" width="0.85546875" style="139" customWidth="1"/>
    <col min="12" max="16384" width="9.140625" style="139"/>
  </cols>
  <sheetData>
    <row r="1" spans="1:11" x14ac:dyDescent="0.2">
      <c r="A1" s="191" t="s">
        <v>699</v>
      </c>
    </row>
    <row r="3" spans="1:11" s="59" customFormat="1" ht="15" x14ac:dyDescent="0.25">
      <c r="A3" s="115" t="s">
        <v>711</v>
      </c>
      <c r="B3" s="78" t="s">
        <v>226</v>
      </c>
    </row>
    <row r="4" spans="1:11" s="59" customFormat="1" ht="15.75" thickBot="1" x14ac:dyDescent="0.3">
      <c r="A4" s="78"/>
      <c r="B4" s="78"/>
    </row>
    <row r="5" spans="1:11" s="59" customFormat="1" ht="16.5" thickBot="1" x14ac:dyDescent="0.3">
      <c r="A5" s="670" t="s">
        <v>227</v>
      </c>
      <c r="B5" s="670"/>
      <c r="C5" s="670"/>
      <c r="D5" s="671"/>
      <c r="E5" s="298" t="s">
        <v>901</v>
      </c>
      <c r="F5" s="298" t="s">
        <v>902</v>
      </c>
      <c r="H5" s="537" t="s">
        <v>84</v>
      </c>
      <c r="I5" s="538"/>
      <c r="J5" s="538"/>
      <c r="K5" s="539"/>
    </row>
    <row r="6" spans="1:11" s="59" customFormat="1" ht="15.75" customHeight="1" x14ac:dyDescent="0.25">
      <c r="A6" s="670"/>
      <c r="B6" s="670"/>
      <c r="C6" s="670"/>
      <c r="D6" s="671"/>
      <c r="E6" s="289">
        <v>0.01</v>
      </c>
      <c r="F6" s="289">
        <v>1.4999999999999999E-2</v>
      </c>
      <c r="H6" s="62"/>
      <c r="I6" s="63"/>
      <c r="J6" s="63"/>
      <c r="K6" s="64"/>
    </row>
    <row r="7" spans="1:11" s="59" customFormat="1" ht="15.75" customHeight="1" x14ac:dyDescent="0.25">
      <c r="A7" s="78"/>
      <c r="B7" s="78"/>
      <c r="C7" s="78"/>
      <c r="D7" s="78"/>
      <c r="H7" s="65"/>
      <c r="I7" s="66"/>
      <c r="J7" s="67" t="s">
        <v>82</v>
      </c>
      <c r="K7" s="68"/>
    </row>
    <row r="8" spans="1:11" s="59" customFormat="1" ht="15" customHeight="1" x14ac:dyDescent="0.25">
      <c r="A8" s="139"/>
      <c r="B8" s="139"/>
      <c r="C8" s="139"/>
      <c r="D8" s="139"/>
      <c r="E8" s="139"/>
      <c r="F8" s="139"/>
      <c r="H8" s="65"/>
      <c r="I8" s="71"/>
      <c r="J8" s="67" t="s">
        <v>94</v>
      </c>
      <c r="K8" s="68"/>
    </row>
    <row r="9" spans="1:11" s="59" customFormat="1" ht="15" x14ac:dyDescent="0.25">
      <c r="A9" s="139"/>
      <c r="B9" s="139"/>
      <c r="C9" s="139"/>
      <c r="D9" s="139"/>
      <c r="E9" s="139"/>
      <c r="F9" s="139"/>
      <c r="H9" s="65"/>
      <c r="I9" s="72"/>
      <c r="J9" s="67" t="s">
        <v>83</v>
      </c>
      <c r="K9" s="68"/>
    </row>
    <row r="10" spans="1:11" s="59" customFormat="1" ht="15.75" thickBot="1" x14ac:dyDescent="0.3">
      <c r="A10" s="139"/>
      <c r="B10" s="139"/>
      <c r="C10" s="139"/>
      <c r="D10" s="139"/>
      <c r="E10" s="139"/>
      <c r="F10" s="139"/>
      <c r="H10" s="73"/>
      <c r="I10" s="74"/>
      <c r="J10" s="74"/>
      <c r="K10" s="75"/>
    </row>
    <row r="11" spans="1:11" s="59" customFormat="1" ht="15" x14ac:dyDescent="0.25">
      <c r="A11" s="139"/>
      <c r="B11" s="139"/>
      <c r="C11" s="139"/>
      <c r="D11" s="139"/>
      <c r="E11" s="139"/>
      <c r="F11" s="139"/>
    </row>
  </sheetData>
  <sheetProtection password="E299" sheet="1"/>
  <mergeCells count="2">
    <mergeCell ref="H5:K5"/>
    <mergeCell ref="A5:D6"/>
  </mergeCells>
  <pageMargins left="0.511811024" right="0.511811024" top="0.78740157499999996" bottom="0.78740157499999996" header="0.31496062000000002" footer="0.31496062000000002"/>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2">
    <tabColor theme="6" tint="0.39997558519241921"/>
  </sheetPr>
  <dimension ref="A1:AG287"/>
  <sheetViews>
    <sheetView showGridLines="0" workbookViewId="0">
      <selection activeCell="K278" sqref="K278"/>
    </sheetView>
  </sheetViews>
  <sheetFormatPr defaultColWidth="11.42578125" defaultRowHeight="15" x14ac:dyDescent="0.25"/>
  <cols>
    <col min="1" max="1" width="5.5703125" style="59" bestFit="1" customWidth="1"/>
    <col min="2" max="2" width="2.7109375" style="59" customWidth="1"/>
    <col min="3" max="3" width="3.5703125" style="59" bestFit="1" customWidth="1"/>
    <col min="4" max="4" width="21" style="59" customWidth="1"/>
    <col min="5" max="5" width="19" style="59" customWidth="1"/>
    <col min="6" max="7" width="26.7109375" style="59" customWidth="1"/>
    <col min="8" max="9" width="26.85546875" style="59" bestFit="1" customWidth="1"/>
    <col min="10" max="10" width="17.5703125" style="59" customWidth="1"/>
    <col min="11" max="11" width="4.42578125" style="59" customWidth="1"/>
    <col min="12" max="12" width="11.42578125" style="59" customWidth="1"/>
    <col min="13" max="13" width="42.5703125" style="59" bestFit="1" customWidth="1"/>
    <col min="14" max="14" width="11.85546875" style="59" customWidth="1"/>
    <col min="15" max="18" width="11.42578125" style="59"/>
    <col min="19" max="33" width="0" style="59" hidden="1" customWidth="1"/>
    <col min="34" max="16384" width="11.42578125" style="59"/>
  </cols>
  <sheetData>
    <row r="1" spans="1:27" x14ac:dyDescent="0.25">
      <c r="A1" s="107" t="s">
        <v>700</v>
      </c>
    </row>
    <row r="3" spans="1:27" x14ac:dyDescent="0.25">
      <c r="A3" s="78" t="s">
        <v>701</v>
      </c>
    </row>
    <row r="5" spans="1:27" ht="15.75" thickBot="1" x14ac:dyDescent="0.3">
      <c r="A5" s="78" t="s">
        <v>712</v>
      </c>
      <c r="B5" s="78" t="s">
        <v>121</v>
      </c>
    </row>
    <row r="6" spans="1:27" ht="15.75" thickBot="1" x14ac:dyDescent="0.3">
      <c r="A6" s="702" t="s">
        <v>8</v>
      </c>
      <c r="B6" s="703"/>
      <c r="C6" s="703"/>
      <c r="D6" s="703"/>
      <c r="E6" s="699" t="s">
        <v>122</v>
      </c>
      <c r="F6" s="702" t="s">
        <v>123</v>
      </c>
      <c r="K6" s="537" t="s">
        <v>84</v>
      </c>
      <c r="L6" s="538"/>
      <c r="M6" s="538"/>
      <c r="N6" s="539"/>
    </row>
    <row r="7" spans="1:27" x14ac:dyDescent="0.25">
      <c r="A7" s="705"/>
      <c r="B7" s="706"/>
      <c r="C7" s="706"/>
      <c r="D7" s="706"/>
      <c r="E7" s="699"/>
      <c r="F7" s="681"/>
      <c r="K7" s="62"/>
      <c r="L7" s="63"/>
      <c r="M7" s="63"/>
      <c r="N7" s="64"/>
    </row>
    <row r="8" spans="1:27" ht="15" customHeight="1" x14ac:dyDescent="0.25">
      <c r="A8" s="672" t="s">
        <v>11</v>
      </c>
      <c r="B8" s="673"/>
      <c r="C8" s="673"/>
      <c r="D8" s="673"/>
      <c r="E8" s="754">
        <v>10</v>
      </c>
      <c r="F8" s="756">
        <v>0.1</v>
      </c>
      <c r="G8" s="83"/>
      <c r="K8" s="65"/>
      <c r="L8" s="66"/>
      <c r="M8" s="67" t="s">
        <v>82</v>
      </c>
      <c r="N8" s="68"/>
    </row>
    <row r="9" spans="1:27" x14ac:dyDescent="0.25">
      <c r="A9" s="672" t="s">
        <v>12</v>
      </c>
      <c r="B9" s="673"/>
      <c r="C9" s="673"/>
      <c r="D9" s="673"/>
      <c r="E9" s="755"/>
      <c r="F9" s="757"/>
      <c r="G9" s="83"/>
      <c r="K9" s="65"/>
      <c r="L9" s="71"/>
      <c r="M9" s="67" t="s">
        <v>94</v>
      </c>
      <c r="N9" s="68"/>
    </row>
    <row r="10" spans="1:27" ht="15" customHeight="1" x14ac:dyDescent="0.25">
      <c r="A10" s="672" t="s">
        <v>13</v>
      </c>
      <c r="B10" s="673"/>
      <c r="C10" s="673"/>
      <c r="D10" s="673"/>
      <c r="E10" s="754">
        <v>10</v>
      </c>
      <c r="F10" s="756">
        <v>0.1</v>
      </c>
      <c r="G10" s="83"/>
      <c r="K10" s="65"/>
      <c r="L10" s="72"/>
      <c r="M10" s="67" t="s">
        <v>83</v>
      </c>
      <c r="N10" s="68"/>
    </row>
    <row r="11" spans="1:27" ht="15.75" thickBot="1" x14ac:dyDescent="0.3">
      <c r="A11" s="672" t="s">
        <v>14</v>
      </c>
      <c r="B11" s="673"/>
      <c r="C11" s="673"/>
      <c r="D11" s="673"/>
      <c r="E11" s="755"/>
      <c r="F11" s="757"/>
      <c r="G11" s="83"/>
      <c r="K11" s="73"/>
      <c r="L11" s="74"/>
      <c r="M11" s="74"/>
      <c r="N11" s="75"/>
      <c r="S11" s="59">
        <v>1</v>
      </c>
      <c r="T11" s="59">
        <f>SUM(U11:AG11)</f>
        <v>1</v>
      </c>
      <c r="U11" s="59">
        <v>1</v>
      </c>
      <c r="V11" s="59">
        <v>0</v>
      </c>
    </row>
    <row r="12" spans="1:27" ht="15" customHeight="1" x14ac:dyDescent="0.25">
      <c r="A12" s="672" t="s">
        <v>15</v>
      </c>
      <c r="B12" s="673"/>
      <c r="C12" s="673"/>
      <c r="D12" s="673"/>
      <c r="E12" s="341">
        <v>10</v>
      </c>
      <c r="F12" s="342">
        <v>0.1</v>
      </c>
      <c r="G12" s="83"/>
      <c r="S12" s="59">
        <v>2</v>
      </c>
      <c r="T12" s="59">
        <f t="shared" ref="T12:T22" si="0">SUM(U12:AG12)</f>
        <v>3</v>
      </c>
      <c r="U12" s="59">
        <v>2</v>
      </c>
      <c r="V12" s="59">
        <v>1</v>
      </c>
      <c r="W12" s="59">
        <v>0</v>
      </c>
    </row>
    <row r="13" spans="1:27" x14ac:dyDescent="0.25">
      <c r="A13" s="672" t="s">
        <v>16</v>
      </c>
      <c r="B13" s="673"/>
      <c r="C13" s="673"/>
      <c r="D13" s="673"/>
      <c r="E13" s="754">
        <v>10</v>
      </c>
      <c r="F13" s="756">
        <v>0.05</v>
      </c>
      <c r="G13" s="83"/>
      <c r="S13" s="59">
        <v>3</v>
      </c>
      <c r="T13" s="59">
        <f t="shared" si="0"/>
        <v>6</v>
      </c>
      <c r="U13" s="59">
        <f>S13</f>
        <v>3</v>
      </c>
      <c r="V13" s="59">
        <f>U13-1</f>
        <v>2</v>
      </c>
      <c r="W13" s="59">
        <f>V13-1</f>
        <v>1</v>
      </c>
      <c r="X13" s="59">
        <f>W13-1</f>
        <v>0</v>
      </c>
    </row>
    <row r="14" spans="1:27" x14ac:dyDescent="0.25">
      <c r="A14" s="672" t="s">
        <v>17</v>
      </c>
      <c r="B14" s="673"/>
      <c r="C14" s="673"/>
      <c r="D14" s="673"/>
      <c r="E14" s="755"/>
      <c r="F14" s="757"/>
      <c r="G14" s="83"/>
      <c r="S14" s="59">
        <v>4</v>
      </c>
      <c r="T14" s="59">
        <f t="shared" si="0"/>
        <v>10</v>
      </c>
      <c r="U14" s="59">
        <f t="shared" ref="U14:U22" si="1">S14</f>
        <v>4</v>
      </c>
      <c r="V14" s="59">
        <f t="shared" ref="V14:AG22" si="2">U14-1</f>
        <v>3</v>
      </c>
      <c r="W14" s="59">
        <f t="shared" si="2"/>
        <v>2</v>
      </c>
      <c r="X14" s="59">
        <f t="shared" si="2"/>
        <v>1</v>
      </c>
      <c r="Y14" s="59">
        <f t="shared" si="2"/>
        <v>0</v>
      </c>
    </row>
    <row r="15" spans="1:27" x14ac:dyDescent="0.25">
      <c r="A15" s="299"/>
      <c r="B15" s="299"/>
      <c r="C15" s="299"/>
      <c r="D15" s="299"/>
      <c r="E15" s="300"/>
      <c r="F15" s="301"/>
      <c r="G15" s="302"/>
      <c r="S15" s="59">
        <v>5</v>
      </c>
      <c r="T15" s="59">
        <f t="shared" si="0"/>
        <v>15</v>
      </c>
      <c r="U15" s="59">
        <f t="shared" si="1"/>
        <v>5</v>
      </c>
      <c r="V15" s="59">
        <f t="shared" si="2"/>
        <v>4</v>
      </c>
      <c r="W15" s="59">
        <f t="shared" si="2"/>
        <v>3</v>
      </c>
      <c r="X15" s="59">
        <f t="shared" si="2"/>
        <v>2</v>
      </c>
      <c r="Y15" s="59">
        <f t="shared" si="2"/>
        <v>1</v>
      </c>
      <c r="Z15" s="59">
        <f t="shared" si="2"/>
        <v>0</v>
      </c>
    </row>
    <row r="16" spans="1:27" x14ac:dyDescent="0.25">
      <c r="A16" s="78" t="s">
        <v>713</v>
      </c>
      <c r="B16" s="78" t="s">
        <v>940</v>
      </c>
      <c r="S16" s="59">
        <v>6</v>
      </c>
      <c r="T16" s="59">
        <f t="shared" si="0"/>
        <v>21</v>
      </c>
      <c r="U16" s="59">
        <f t="shared" si="1"/>
        <v>6</v>
      </c>
      <c r="V16" s="59">
        <f t="shared" si="2"/>
        <v>5</v>
      </c>
      <c r="W16" s="59">
        <f t="shared" si="2"/>
        <v>4</v>
      </c>
      <c r="X16" s="59">
        <f t="shared" si="2"/>
        <v>3</v>
      </c>
      <c r="Y16" s="59">
        <f t="shared" si="2"/>
        <v>2</v>
      </c>
      <c r="Z16" s="59">
        <f t="shared" si="2"/>
        <v>1</v>
      </c>
      <c r="AA16" s="59">
        <f t="shared" si="2"/>
        <v>0</v>
      </c>
    </row>
    <row r="17" spans="1:33" s="107" customFormat="1" ht="15" customHeight="1" x14ac:dyDescent="0.25">
      <c r="A17" s="784" t="s">
        <v>126</v>
      </c>
      <c r="B17" s="785"/>
      <c r="C17" s="786"/>
      <c r="D17" s="747" t="s">
        <v>127</v>
      </c>
      <c r="E17" s="747" t="s">
        <v>128</v>
      </c>
      <c r="F17" s="747" t="s">
        <v>763</v>
      </c>
      <c r="G17" s="747" t="s">
        <v>762</v>
      </c>
      <c r="S17" s="107">
        <v>7</v>
      </c>
      <c r="T17" s="59">
        <f t="shared" si="0"/>
        <v>28</v>
      </c>
      <c r="U17" s="59">
        <f t="shared" si="1"/>
        <v>7</v>
      </c>
      <c r="V17" s="59">
        <f t="shared" si="2"/>
        <v>6</v>
      </c>
      <c r="W17" s="59">
        <f t="shared" si="2"/>
        <v>5</v>
      </c>
      <c r="X17" s="59">
        <f t="shared" si="2"/>
        <v>4</v>
      </c>
      <c r="Y17" s="59">
        <f t="shared" si="2"/>
        <v>3</v>
      </c>
      <c r="Z17" s="59">
        <f t="shared" si="2"/>
        <v>2</v>
      </c>
      <c r="AA17" s="59">
        <f t="shared" si="2"/>
        <v>1</v>
      </c>
      <c r="AB17" s="59">
        <f t="shared" si="2"/>
        <v>0</v>
      </c>
      <c r="AC17" s="59"/>
      <c r="AD17" s="59"/>
    </row>
    <row r="18" spans="1:33" s="107" customFormat="1" ht="15" customHeight="1" x14ac:dyDescent="0.25">
      <c r="A18" s="787"/>
      <c r="B18" s="788"/>
      <c r="C18" s="789"/>
      <c r="D18" s="748"/>
      <c r="E18" s="748"/>
      <c r="F18" s="748"/>
      <c r="G18" s="748"/>
      <c r="S18" s="107">
        <v>8</v>
      </c>
      <c r="T18" s="59">
        <f t="shared" si="0"/>
        <v>36</v>
      </c>
      <c r="U18" s="59">
        <f t="shared" si="1"/>
        <v>8</v>
      </c>
      <c r="V18" s="59">
        <f t="shared" si="2"/>
        <v>7</v>
      </c>
      <c r="W18" s="59">
        <f t="shared" si="2"/>
        <v>6</v>
      </c>
      <c r="X18" s="59">
        <f t="shared" si="2"/>
        <v>5</v>
      </c>
      <c r="Y18" s="59">
        <f t="shared" si="2"/>
        <v>4</v>
      </c>
      <c r="Z18" s="59">
        <f t="shared" si="2"/>
        <v>3</v>
      </c>
      <c r="AA18" s="59">
        <f t="shared" si="2"/>
        <v>2</v>
      </c>
      <c r="AB18" s="59">
        <f t="shared" si="2"/>
        <v>1</v>
      </c>
      <c r="AC18" s="59">
        <f t="shared" si="2"/>
        <v>0</v>
      </c>
      <c r="AD18" s="59"/>
    </row>
    <row r="19" spans="1:33" ht="15" customHeight="1" x14ac:dyDescent="0.25">
      <c r="A19" s="303">
        <v>0</v>
      </c>
      <c r="B19" s="304" t="s">
        <v>124</v>
      </c>
      <c r="C19" s="305">
        <v>1</v>
      </c>
      <c r="D19" s="506">
        <f>IF((1-$F$8)*($E$8-C19+1)/VLOOKUP($E$8,$S$10:$T$22,2,)&lt;=0,0,(1-$F$8)*($E$8-C19+1)/VLOOKUP($E$8,$S$10:$T$22,2,))</f>
        <v>0.16363636363636364</v>
      </c>
      <c r="E19" s="506">
        <f>IF((1-$F$10)*($E$10-C19+1)/VLOOKUP($E$10,$S$10:$T$22,2,)&lt;=0,0,(1-$F$10)*($E$10-C19+1)/VLOOKUP($E$10,$S$10:$T$22,2,))</f>
        <v>0.16363636363636364</v>
      </c>
      <c r="F19" s="506">
        <f>IF((1-$F$12)*($E$12-C19+1)/VLOOKUP($E$12,$S$10:$T$22,2,)&lt;=0,0,(1-$F$12)*($E$12-C19+1)/VLOOKUP($E$12,$S$10:$T$22,2,))</f>
        <v>0.16363636363636364</v>
      </c>
      <c r="G19" s="506">
        <f>IF((1-$F$13)*($E$13-C19+1)/VLOOKUP($E$13,$S$10:$T$22,2,)&lt;=0,0,(1-$F$13)*($E$13-C19+1)/VLOOKUP($E$13,$S$10:$T$22,2,))</f>
        <v>0.17272727272727273</v>
      </c>
      <c r="H19" s="306"/>
      <c r="S19" s="59">
        <v>9</v>
      </c>
      <c r="T19" s="59">
        <f t="shared" si="0"/>
        <v>45</v>
      </c>
      <c r="U19" s="59">
        <f t="shared" si="1"/>
        <v>9</v>
      </c>
      <c r="V19" s="59">
        <f t="shared" si="2"/>
        <v>8</v>
      </c>
      <c r="W19" s="59">
        <f t="shared" si="2"/>
        <v>7</v>
      </c>
      <c r="X19" s="59">
        <f t="shared" si="2"/>
        <v>6</v>
      </c>
      <c r="Y19" s="59">
        <f t="shared" si="2"/>
        <v>5</v>
      </c>
      <c r="Z19" s="59">
        <f t="shared" si="2"/>
        <v>4</v>
      </c>
      <c r="AA19" s="59">
        <f t="shared" si="2"/>
        <v>3</v>
      </c>
      <c r="AB19" s="59">
        <f t="shared" si="2"/>
        <v>2</v>
      </c>
      <c r="AC19" s="59">
        <f t="shared" si="2"/>
        <v>1</v>
      </c>
      <c r="AD19" s="59">
        <f t="shared" si="2"/>
        <v>0</v>
      </c>
    </row>
    <row r="20" spans="1:33" ht="15" customHeight="1" x14ac:dyDescent="0.25">
      <c r="A20" s="303">
        <v>1</v>
      </c>
      <c r="B20" s="304" t="s">
        <v>124</v>
      </c>
      <c r="C20" s="305">
        <v>2</v>
      </c>
      <c r="D20" s="506">
        <f t="shared" ref="D20:D31" si="3">IF((1-$F$8)*($E$8-C20+1)/VLOOKUP($E$8,$S$10:$T$22,2,)&lt;=0,0,(1-$F$8)*($E$8-C20+1)/VLOOKUP($E$8,$S$10:$T$22,2,))</f>
        <v>0.14727272727272728</v>
      </c>
      <c r="E20" s="506">
        <f t="shared" ref="E20:E31" si="4">IF((1-$F$10)*($E$10-C20+1)/VLOOKUP($E$10,$S$10:$T$22,2,)&lt;=0,0,(1-$F$10)*($E$10-C20+1)/VLOOKUP($E$10,$S$10:$T$22,2,))</f>
        <v>0.14727272727272728</v>
      </c>
      <c r="F20" s="506">
        <f t="shared" ref="F20:F31" si="5">IF((1-$F$12)*($E$12-C20+1)/VLOOKUP($E$12,$S$10:$T$22,2,)&lt;=0,0,(1-$F$12)*($E$12-C20+1)/VLOOKUP($E$12,$S$10:$T$22,2,))</f>
        <v>0.14727272727272728</v>
      </c>
      <c r="G20" s="506">
        <f t="shared" ref="G20:G31" si="6">IF((1-$F$13)*($E$13-C20+1)/VLOOKUP($E$13,$S$10:$T$22,2,)&lt;=0,0,(1-$F$13)*($E$13-C20+1)/VLOOKUP($E$13,$S$10:$T$22,2,))</f>
        <v>0.15545454545454543</v>
      </c>
      <c r="S20" s="59">
        <v>10</v>
      </c>
      <c r="T20" s="59">
        <f t="shared" si="0"/>
        <v>55</v>
      </c>
      <c r="U20" s="59">
        <f t="shared" si="1"/>
        <v>10</v>
      </c>
      <c r="V20" s="59">
        <f t="shared" si="2"/>
        <v>9</v>
      </c>
      <c r="W20" s="59">
        <f t="shared" si="2"/>
        <v>8</v>
      </c>
      <c r="X20" s="59">
        <f t="shared" si="2"/>
        <v>7</v>
      </c>
      <c r="Y20" s="59">
        <f t="shared" si="2"/>
        <v>6</v>
      </c>
      <c r="Z20" s="59">
        <f t="shared" si="2"/>
        <v>5</v>
      </c>
      <c r="AA20" s="59">
        <f t="shared" si="2"/>
        <v>4</v>
      </c>
      <c r="AB20" s="59">
        <f t="shared" si="2"/>
        <v>3</v>
      </c>
      <c r="AC20" s="59">
        <f t="shared" si="2"/>
        <v>2</v>
      </c>
      <c r="AD20" s="59">
        <f t="shared" si="2"/>
        <v>1</v>
      </c>
      <c r="AE20" s="59">
        <f t="shared" si="2"/>
        <v>0</v>
      </c>
    </row>
    <row r="21" spans="1:33" ht="15" customHeight="1" x14ac:dyDescent="0.25">
      <c r="A21" s="303">
        <v>2</v>
      </c>
      <c r="B21" s="304" t="s">
        <v>124</v>
      </c>
      <c r="C21" s="305">
        <v>3</v>
      </c>
      <c r="D21" s="506">
        <f t="shared" si="3"/>
        <v>0.13090909090909092</v>
      </c>
      <c r="E21" s="506">
        <f t="shared" si="4"/>
        <v>0.13090909090909092</v>
      </c>
      <c r="F21" s="506">
        <f t="shared" si="5"/>
        <v>0.13090909090909092</v>
      </c>
      <c r="G21" s="506">
        <f t="shared" si="6"/>
        <v>0.13818181818181818</v>
      </c>
      <c r="S21" s="59">
        <v>11</v>
      </c>
      <c r="T21" s="59">
        <f t="shared" si="0"/>
        <v>66</v>
      </c>
      <c r="U21" s="59">
        <f t="shared" si="1"/>
        <v>11</v>
      </c>
      <c r="V21" s="59">
        <f t="shared" si="2"/>
        <v>10</v>
      </c>
      <c r="W21" s="59">
        <f t="shared" si="2"/>
        <v>9</v>
      </c>
      <c r="X21" s="59">
        <f t="shared" si="2"/>
        <v>8</v>
      </c>
      <c r="Y21" s="59">
        <f t="shared" si="2"/>
        <v>7</v>
      </c>
      <c r="Z21" s="59">
        <f t="shared" si="2"/>
        <v>6</v>
      </c>
      <c r="AA21" s="59">
        <f t="shared" si="2"/>
        <v>5</v>
      </c>
      <c r="AB21" s="59">
        <f t="shared" si="2"/>
        <v>4</v>
      </c>
      <c r="AC21" s="59">
        <f t="shared" si="2"/>
        <v>3</v>
      </c>
      <c r="AD21" s="59">
        <f t="shared" si="2"/>
        <v>2</v>
      </c>
      <c r="AE21" s="59">
        <f t="shared" si="2"/>
        <v>1</v>
      </c>
      <c r="AF21" s="59">
        <f t="shared" si="2"/>
        <v>0</v>
      </c>
    </row>
    <row r="22" spans="1:33" ht="15" customHeight="1" x14ac:dyDescent="0.25">
      <c r="A22" s="303">
        <v>3</v>
      </c>
      <c r="B22" s="304" t="s">
        <v>124</v>
      </c>
      <c r="C22" s="305">
        <v>4</v>
      </c>
      <c r="D22" s="506">
        <f t="shared" si="3"/>
        <v>0.11454545454545455</v>
      </c>
      <c r="E22" s="506">
        <f t="shared" si="4"/>
        <v>0.11454545454545455</v>
      </c>
      <c r="F22" s="506">
        <f t="shared" si="5"/>
        <v>0.11454545454545455</v>
      </c>
      <c r="G22" s="506">
        <f t="shared" si="6"/>
        <v>0.1209090909090909</v>
      </c>
      <c r="S22" s="59">
        <v>12</v>
      </c>
      <c r="T22" s="59">
        <f t="shared" si="0"/>
        <v>78</v>
      </c>
      <c r="U22" s="59">
        <f t="shared" si="1"/>
        <v>12</v>
      </c>
      <c r="V22" s="59">
        <f t="shared" si="2"/>
        <v>11</v>
      </c>
      <c r="W22" s="59">
        <f t="shared" si="2"/>
        <v>10</v>
      </c>
      <c r="X22" s="59">
        <f t="shared" si="2"/>
        <v>9</v>
      </c>
      <c r="Y22" s="59">
        <f t="shared" si="2"/>
        <v>8</v>
      </c>
      <c r="Z22" s="59">
        <f t="shared" si="2"/>
        <v>7</v>
      </c>
      <c r="AA22" s="59">
        <f t="shared" si="2"/>
        <v>6</v>
      </c>
      <c r="AB22" s="59">
        <f t="shared" si="2"/>
        <v>5</v>
      </c>
      <c r="AC22" s="59">
        <f t="shared" si="2"/>
        <v>4</v>
      </c>
      <c r="AD22" s="59">
        <f t="shared" si="2"/>
        <v>3</v>
      </c>
      <c r="AE22" s="59">
        <f t="shared" si="2"/>
        <v>2</v>
      </c>
      <c r="AF22" s="59">
        <f t="shared" si="2"/>
        <v>1</v>
      </c>
      <c r="AG22" s="59">
        <f t="shared" si="2"/>
        <v>0</v>
      </c>
    </row>
    <row r="23" spans="1:33" ht="15" customHeight="1" x14ac:dyDescent="0.25">
      <c r="A23" s="303">
        <v>4</v>
      </c>
      <c r="B23" s="304" t="s">
        <v>124</v>
      </c>
      <c r="C23" s="305">
        <v>5</v>
      </c>
      <c r="D23" s="506">
        <f t="shared" si="3"/>
        <v>9.818181818181819E-2</v>
      </c>
      <c r="E23" s="506">
        <f t="shared" si="4"/>
        <v>9.818181818181819E-2</v>
      </c>
      <c r="F23" s="506">
        <f t="shared" si="5"/>
        <v>9.818181818181819E-2</v>
      </c>
      <c r="G23" s="506">
        <f t="shared" si="6"/>
        <v>0.10363636363636362</v>
      </c>
    </row>
    <row r="24" spans="1:33" ht="15" customHeight="1" x14ac:dyDescent="0.25">
      <c r="A24" s="303">
        <v>5</v>
      </c>
      <c r="B24" s="304" t="s">
        <v>124</v>
      </c>
      <c r="C24" s="305">
        <v>6</v>
      </c>
      <c r="D24" s="506">
        <f t="shared" si="3"/>
        <v>8.1818181818181818E-2</v>
      </c>
      <c r="E24" s="506">
        <f t="shared" si="4"/>
        <v>8.1818181818181818E-2</v>
      </c>
      <c r="F24" s="506">
        <f t="shared" si="5"/>
        <v>8.1818181818181818E-2</v>
      </c>
      <c r="G24" s="506">
        <f t="shared" si="6"/>
        <v>8.6363636363636365E-2</v>
      </c>
    </row>
    <row r="25" spans="1:33" ht="15" customHeight="1" x14ac:dyDescent="0.25">
      <c r="A25" s="303">
        <v>6</v>
      </c>
      <c r="B25" s="304" t="s">
        <v>124</v>
      </c>
      <c r="C25" s="305">
        <v>7</v>
      </c>
      <c r="D25" s="506">
        <f t="shared" si="3"/>
        <v>6.545454545454546E-2</v>
      </c>
      <c r="E25" s="506">
        <f t="shared" si="4"/>
        <v>6.545454545454546E-2</v>
      </c>
      <c r="F25" s="506">
        <f t="shared" si="5"/>
        <v>6.545454545454546E-2</v>
      </c>
      <c r="G25" s="506">
        <f t="shared" si="6"/>
        <v>6.9090909090909092E-2</v>
      </c>
    </row>
    <row r="26" spans="1:33" ht="15" customHeight="1" x14ac:dyDescent="0.25">
      <c r="A26" s="303">
        <v>7</v>
      </c>
      <c r="B26" s="304" t="s">
        <v>124</v>
      </c>
      <c r="C26" s="305">
        <v>8</v>
      </c>
      <c r="D26" s="506">
        <f t="shared" si="3"/>
        <v>4.9090909090909095E-2</v>
      </c>
      <c r="E26" s="506">
        <f t="shared" si="4"/>
        <v>4.9090909090909095E-2</v>
      </c>
      <c r="F26" s="506">
        <f t="shared" si="5"/>
        <v>4.9090909090909095E-2</v>
      </c>
      <c r="G26" s="506">
        <f t="shared" si="6"/>
        <v>5.1818181818181812E-2</v>
      </c>
    </row>
    <row r="27" spans="1:33" ht="15" customHeight="1" x14ac:dyDescent="0.25">
      <c r="A27" s="303">
        <v>8</v>
      </c>
      <c r="B27" s="304" t="s">
        <v>124</v>
      </c>
      <c r="C27" s="305">
        <v>9</v>
      </c>
      <c r="D27" s="506">
        <f t="shared" si="3"/>
        <v>3.272727272727273E-2</v>
      </c>
      <c r="E27" s="506">
        <f t="shared" si="4"/>
        <v>3.272727272727273E-2</v>
      </c>
      <c r="F27" s="506">
        <f t="shared" si="5"/>
        <v>3.272727272727273E-2</v>
      </c>
      <c r="G27" s="506">
        <f t="shared" si="6"/>
        <v>3.4545454545454546E-2</v>
      </c>
    </row>
    <row r="28" spans="1:33" ht="15" customHeight="1" x14ac:dyDescent="0.25">
      <c r="A28" s="303">
        <v>9</v>
      </c>
      <c r="B28" s="304" t="s">
        <v>124</v>
      </c>
      <c r="C28" s="305">
        <v>10</v>
      </c>
      <c r="D28" s="506">
        <f t="shared" si="3"/>
        <v>1.6363636363636365E-2</v>
      </c>
      <c r="E28" s="506">
        <f t="shared" si="4"/>
        <v>1.6363636363636365E-2</v>
      </c>
      <c r="F28" s="506">
        <f t="shared" si="5"/>
        <v>1.6363636363636365E-2</v>
      </c>
      <c r="G28" s="506">
        <f t="shared" si="6"/>
        <v>1.7272727272727273E-2</v>
      </c>
    </row>
    <row r="29" spans="1:33" ht="15" customHeight="1" x14ac:dyDescent="0.25">
      <c r="A29" s="303">
        <v>10</v>
      </c>
      <c r="B29" s="304" t="s">
        <v>124</v>
      </c>
      <c r="C29" s="305">
        <v>11</v>
      </c>
      <c r="D29" s="506">
        <f t="shared" si="3"/>
        <v>0</v>
      </c>
      <c r="E29" s="506">
        <f t="shared" si="4"/>
        <v>0</v>
      </c>
      <c r="F29" s="506">
        <f t="shared" si="5"/>
        <v>0</v>
      </c>
      <c r="G29" s="506">
        <f t="shared" si="6"/>
        <v>0</v>
      </c>
    </row>
    <row r="30" spans="1:33" ht="15" customHeight="1" x14ac:dyDescent="0.25">
      <c r="A30" s="303">
        <v>11</v>
      </c>
      <c r="B30" s="304" t="s">
        <v>124</v>
      </c>
      <c r="C30" s="305">
        <v>12</v>
      </c>
      <c r="D30" s="506">
        <f t="shared" si="3"/>
        <v>0</v>
      </c>
      <c r="E30" s="506">
        <f t="shared" si="4"/>
        <v>0</v>
      </c>
      <c r="F30" s="506">
        <f t="shared" si="5"/>
        <v>0</v>
      </c>
      <c r="G30" s="506">
        <f t="shared" si="6"/>
        <v>0</v>
      </c>
    </row>
    <row r="31" spans="1:33" ht="15" customHeight="1" x14ac:dyDescent="0.25">
      <c r="A31" s="303"/>
      <c r="B31" s="304" t="s">
        <v>125</v>
      </c>
      <c r="C31" s="305">
        <v>12</v>
      </c>
      <c r="D31" s="506">
        <f t="shared" si="3"/>
        <v>0</v>
      </c>
      <c r="E31" s="506">
        <f t="shared" si="4"/>
        <v>0</v>
      </c>
      <c r="F31" s="506">
        <f t="shared" si="5"/>
        <v>0</v>
      </c>
      <c r="G31" s="506">
        <f t="shared" si="6"/>
        <v>0</v>
      </c>
    </row>
    <row r="32" spans="1:33" ht="15" customHeight="1" x14ac:dyDescent="0.25">
      <c r="A32" s="78"/>
      <c r="B32" s="78"/>
      <c r="C32" s="78"/>
      <c r="D32" s="78"/>
    </row>
    <row r="33" spans="1:12" ht="15.75" thickBot="1" x14ac:dyDescent="0.3">
      <c r="A33" s="78" t="s">
        <v>714</v>
      </c>
      <c r="B33" s="78" t="s">
        <v>130</v>
      </c>
    </row>
    <row r="34" spans="1:12" x14ac:dyDescent="0.25">
      <c r="A34" s="750" t="s">
        <v>8</v>
      </c>
      <c r="B34" s="751"/>
      <c r="C34" s="751"/>
      <c r="D34" s="751"/>
      <c r="E34" s="734" t="s">
        <v>120</v>
      </c>
      <c r="F34" s="736" t="s">
        <v>6</v>
      </c>
      <c r="G34" s="737"/>
      <c r="H34" s="736" t="s">
        <v>7</v>
      </c>
      <c r="I34" s="749"/>
    </row>
    <row r="35" spans="1:12" ht="15.75" thickBot="1" x14ac:dyDescent="0.3">
      <c r="A35" s="752"/>
      <c r="B35" s="753"/>
      <c r="C35" s="753"/>
      <c r="D35" s="753"/>
      <c r="E35" s="735"/>
      <c r="F35" s="307" t="s">
        <v>9</v>
      </c>
      <c r="G35" s="307" t="s">
        <v>10</v>
      </c>
      <c r="H35" s="307" t="s">
        <v>9</v>
      </c>
      <c r="I35" s="308" t="s">
        <v>10</v>
      </c>
    </row>
    <row r="36" spans="1:12" x14ac:dyDescent="0.25">
      <c r="A36" s="738" t="s">
        <v>129</v>
      </c>
      <c r="B36" s="739"/>
      <c r="C36" s="739"/>
      <c r="D36" s="740"/>
      <c r="E36" s="309">
        <v>0</v>
      </c>
      <c r="F36" s="310">
        <f>'1.3 Frota Total'!E31</f>
        <v>0</v>
      </c>
      <c r="G36" s="310">
        <f>'1.3 Frota Total'!F31</f>
        <v>0</v>
      </c>
      <c r="H36" s="310">
        <f>'1.3 Frota Total'!G31</f>
        <v>0</v>
      </c>
      <c r="I36" s="311">
        <f>'1.3 Frota Total'!H31</f>
        <v>0</v>
      </c>
      <c r="L36" s="110"/>
    </row>
    <row r="37" spans="1:12" x14ac:dyDescent="0.25">
      <c r="A37" s="741"/>
      <c r="B37" s="742"/>
      <c r="C37" s="742"/>
      <c r="D37" s="743"/>
      <c r="E37" s="312">
        <v>1</v>
      </c>
      <c r="F37" s="313">
        <f>'1.3 Frota Total'!E32</f>
        <v>0</v>
      </c>
      <c r="G37" s="313">
        <f>'1.3 Frota Total'!F32</f>
        <v>0</v>
      </c>
      <c r="H37" s="313">
        <f>'1.3 Frota Total'!G32</f>
        <v>0</v>
      </c>
      <c r="I37" s="314">
        <f>'1.3 Frota Total'!H32</f>
        <v>0</v>
      </c>
    </row>
    <row r="38" spans="1:12" x14ac:dyDescent="0.25">
      <c r="A38" s="741"/>
      <c r="B38" s="742"/>
      <c r="C38" s="742"/>
      <c r="D38" s="743"/>
      <c r="E38" s="312">
        <v>2</v>
      </c>
      <c r="F38" s="313">
        <f>'1.3 Frota Total'!E33</f>
        <v>0</v>
      </c>
      <c r="G38" s="313">
        <f>'1.3 Frota Total'!F33</f>
        <v>0</v>
      </c>
      <c r="H38" s="313">
        <f>'1.3 Frota Total'!G33</f>
        <v>0</v>
      </c>
      <c r="I38" s="314">
        <f>'1.3 Frota Total'!H33</f>
        <v>0</v>
      </c>
    </row>
    <row r="39" spans="1:12" x14ac:dyDescent="0.25">
      <c r="A39" s="741"/>
      <c r="B39" s="742"/>
      <c r="C39" s="742"/>
      <c r="D39" s="743"/>
      <c r="E39" s="312">
        <v>3</v>
      </c>
      <c r="F39" s="313">
        <f>'1.3 Frota Total'!E34</f>
        <v>0</v>
      </c>
      <c r="G39" s="313">
        <f>'1.3 Frota Total'!F34</f>
        <v>0</v>
      </c>
      <c r="H39" s="313">
        <f>'1.3 Frota Total'!G34</f>
        <v>0</v>
      </c>
      <c r="I39" s="314">
        <f>'1.3 Frota Total'!H34</f>
        <v>0</v>
      </c>
    </row>
    <row r="40" spans="1:12" x14ac:dyDescent="0.25">
      <c r="A40" s="741"/>
      <c r="B40" s="742"/>
      <c r="C40" s="742"/>
      <c r="D40" s="743"/>
      <c r="E40" s="312">
        <v>4</v>
      </c>
      <c r="F40" s="313">
        <f>'1.3 Frota Total'!E35</f>
        <v>0</v>
      </c>
      <c r="G40" s="313">
        <f>'1.3 Frota Total'!F35</f>
        <v>0</v>
      </c>
      <c r="H40" s="313">
        <f>'1.3 Frota Total'!G35</f>
        <v>0</v>
      </c>
      <c r="I40" s="314">
        <f>'1.3 Frota Total'!H35</f>
        <v>0</v>
      </c>
    </row>
    <row r="41" spans="1:12" x14ac:dyDescent="0.25">
      <c r="A41" s="741"/>
      <c r="B41" s="742"/>
      <c r="C41" s="742"/>
      <c r="D41" s="743"/>
      <c r="E41" s="312">
        <v>5</v>
      </c>
      <c r="F41" s="313">
        <f>'1.3 Frota Total'!E36</f>
        <v>11</v>
      </c>
      <c r="G41" s="313">
        <f>'1.3 Frota Total'!F36</f>
        <v>0</v>
      </c>
      <c r="H41" s="313">
        <f>'1.3 Frota Total'!G36</f>
        <v>0</v>
      </c>
      <c r="I41" s="314">
        <f>'1.3 Frota Total'!H36</f>
        <v>0</v>
      </c>
    </row>
    <row r="42" spans="1:12" x14ac:dyDescent="0.25">
      <c r="A42" s="741"/>
      <c r="B42" s="742"/>
      <c r="C42" s="742"/>
      <c r="D42" s="743"/>
      <c r="E42" s="312">
        <v>6</v>
      </c>
      <c r="F42" s="313">
        <f>'1.3 Frota Total'!E37</f>
        <v>0</v>
      </c>
      <c r="G42" s="313">
        <f>'1.3 Frota Total'!F37</f>
        <v>0</v>
      </c>
      <c r="H42" s="313">
        <f>'1.3 Frota Total'!G37</f>
        <v>0</v>
      </c>
      <c r="I42" s="314">
        <f>'1.3 Frota Total'!H37</f>
        <v>0</v>
      </c>
    </row>
    <row r="43" spans="1:12" x14ac:dyDescent="0.25">
      <c r="A43" s="741"/>
      <c r="B43" s="742"/>
      <c r="C43" s="742"/>
      <c r="D43" s="743"/>
      <c r="E43" s="312">
        <v>7</v>
      </c>
      <c r="F43" s="313">
        <f>'1.3 Frota Total'!E38</f>
        <v>0</v>
      </c>
      <c r="G43" s="313">
        <f>'1.3 Frota Total'!F38</f>
        <v>0</v>
      </c>
      <c r="H43" s="313">
        <f>'1.3 Frota Total'!G38</f>
        <v>0</v>
      </c>
      <c r="I43" s="314">
        <f>'1.3 Frota Total'!H38</f>
        <v>0</v>
      </c>
    </row>
    <row r="44" spans="1:12" x14ac:dyDescent="0.25">
      <c r="A44" s="741"/>
      <c r="B44" s="742"/>
      <c r="C44" s="742"/>
      <c r="D44" s="743"/>
      <c r="E44" s="312">
        <v>8</v>
      </c>
      <c r="F44" s="313">
        <f>'1.3 Frota Total'!E39</f>
        <v>0</v>
      </c>
      <c r="G44" s="313">
        <f>'1.3 Frota Total'!F39</f>
        <v>0</v>
      </c>
      <c r="H44" s="313">
        <f>'1.3 Frota Total'!G39</f>
        <v>0</v>
      </c>
      <c r="I44" s="314">
        <f>'1.3 Frota Total'!H39</f>
        <v>0</v>
      </c>
    </row>
    <row r="45" spans="1:12" x14ac:dyDescent="0.25">
      <c r="A45" s="741"/>
      <c r="B45" s="742"/>
      <c r="C45" s="742"/>
      <c r="D45" s="743"/>
      <c r="E45" s="312">
        <v>9</v>
      </c>
      <c r="F45" s="313">
        <f>'1.3 Frota Total'!E40</f>
        <v>0</v>
      </c>
      <c r="G45" s="313">
        <f>'1.3 Frota Total'!F40</f>
        <v>0</v>
      </c>
      <c r="H45" s="313">
        <f>'1.3 Frota Total'!G40</f>
        <v>0</v>
      </c>
      <c r="I45" s="314">
        <f>'1.3 Frota Total'!H40</f>
        <v>0</v>
      </c>
    </row>
    <row r="46" spans="1:12" ht="15.75" thickBot="1" x14ac:dyDescent="0.3">
      <c r="A46" s="744"/>
      <c r="B46" s="745"/>
      <c r="C46" s="745"/>
      <c r="D46" s="746"/>
      <c r="E46" s="312">
        <v>10</v>
      </c>
      <c r="F46" s="316">
        <f>'1.3 Frota Total'!E41</f>
        <v>0</v>
      </c>
      <c r="G46" s="316">
        <f>'1.3 Frota Total'!F41</f>
        <v>0</v>
      </c>
      <c r="H46" s="316">
        <f>'1.3 Frota Total'!G41</f>
        <v>0</v>
      </c>
      <c r="I46" s="317">
        <f>'1.3 Frota Total'!H41</f>
        <v>0</v>
      </c>
    </row>
    <row r="47" spans="1:12" x14ac:dyDescent="0.25">
      <c r="A47" s="738" t="s">
        <v>12</v>
      </c>
      <c r="B47" s="739"/>
      <c r="C47" s="739"/>
      <c r="D47" s="740"/>
      <c r="E47" s="309">
        <v>0</v>
      </c>
      <c r="F47" s="310">
        <f>'1.3 Frota Total'!E42</f>
        <v>0</v>
      </c>
      <c r="G47" s="310">
        <f>'1.3 Frota Total'!F42</f>
        <v>0</v>
      </c>
      <c r="H47" s="310">
        <f>'1.3 Frota Total'!G42</f>
        <v>0</v>
      </c>
      <c r="I47" s="311">
        <f>'1.3 Frota Total'!H42</f>
        <v>0</v>
      </c>
    </row>
    <row r="48" spans="1:12" x14ac:dyDescent="0.25">
      <c r="A48" s="741"/>
      <c r="B48" s="742"/>
      <c r="C48" s="742"/>
      <c r="D48" s="743"/>
      <c r="E48" s="312">
        <v>1</v>
      </c>
      <c r="F48" s="313">
        <f>'1.3 Frota Total'!E43</f>
        <v>0</v>
      </c>
      <c r="G48" s="313">
        <f>'1.3 Frota Total'!F43</f>
        <v>0</v>
      </c>
      <c r="H48" s="313">
        <f>'1.3 Frota Total'!G43</f>
        <v>0</v>
      </c>
      <c r="I48" s="314">
        <f>'1.3 Frota Total'!H43</f>
        <v>0</v>
      </c>
    </row>
    <row r="49" spans="1:9" x14ac:dyDescent="0.25">
      <c r="A49" s="741"/>
      <c r="B49" s="742"/>
      <c r="C49" s="742"/>
      <c r="D49" s="743"/>
      <c r="E49" s="312">
        <v>2</v>
      </c>
      <c r="F49" s="313">
        <f>'1.3 Frota Total'!E44</f>
        <v>0</v>
      </c>
      <c r="G49" s="313">
        <f>'1.3 Frota Total'!F44</f>
        <v>0</v>
      </c>
      <c r="H49" s="313">
        <f>'1.3 Frota Total'!G44</f>
        <v>0</v>
      </c>
      <c r="I49" s="314">
        <f>'1.3 Frota Total'!H44</f>
        <v>0</v>
      </c>
    </row>
    <row r="50" spans="1:9" x14ac:dyDescent="0.25">
      <c r="A50" s="741"/>
      <c r="B50" s="742"/>
      <c r="C50" s="742"/>
      <c r="D50" s="743"/>
      <c r="E50" s="312">
        <v>3</v>
      </c>
      <c r="F50" s="313">
        <f>'1.3 Frota Total'!E45</f>
        <v>0</v>
      </c>
      <c r="G50" s="313">
        <f>'1.3 Frota Total'!F45</f>
        <v>0</v>
      </c>
      <c r="H50" s="313">
        <f>'1.3 Frota Total'!G45</f>
        <v>0</v>
      </c>
      <c r="I50" s="314">
        <f>'1.3 Frota Total'!H45</f>
        <v>0</v>
      </c>
    </row>
    <row r="51" spans="1:9" x14ac:dyDescent="0.25">
      <c r="A51" s="741"/>
      <c r="B51" s="742"/>
      <c r="C51" s="742"/>
      <c r="D51" s="743"/>
      <c r="E51" s="312">
        <v>4</v>
      </c>
      <c r="F51" s="313">
        <f>'1.3 Frota Total'!E46</f>
        <v>0</v>
      </c>
      <c r="G51" s="313">
        <f>'1.3 Frota Total'!F46</f>
        <v>0</v>
      </c>
      <c r="H51" s="313">
        <f>'1.3 Frota Total'!G46</f>
        <v>0</v>
      </c>
      <c r="I51" s="314">
        <f>'1.3 Frota Total'!H46</f>
        <v>0</v>
      </c>
    </row>
    <row r="52" spans="1:9" ht="15.75" thickBot="1" x14ac:dyDescent="0.3">
      <c r="A52" s="741"/>
      <c r="B52" s="742"/>
      <c r="C52" s="742"/>
      <c r="D52" s="743"/>
      <c r="E52" s="318">
        <v>5</v>
      </c>
      <c r="F52" s="319">
        <f>'1.3 Frota Total'!E47</f>
        <v>0</v>
      </c>
      <c r="G52" s="319">
        <f>'1.3 Frota Total'!F47</f>
        <v>0</v>
      </c>
      <c r="H52" s="319">
        <f>'1.3 Frota Total'!G47</f>
        <v>0</v>
      </c>
      <c r="I52" s="320">
        <f>'1.3 Frota Total'!H47</f>
        <v>0</v>
      </c>
    </row>
    <row r="53" spans="1:9" x14ac:dyDescent="0.25">
      <c r="A53" s="738" t="s">
        <v>13</v>
      </c>
      <c r="B53" s="739"/>
      <c r="C53" s="739"/>
      <c r="D53" s="740"/>
      <c r="E53" s="309">
        <v>0</v>
      </c>
      <c r="F53" s="310">
        <f>'1.3 Frota Total'!E48</f>
        <v>0</v>
      </c>
      <c r="G53" s="310">
        <f>'1.3 Frota Total'!F48</f>
        <v>0</v>
      </c>
      <c r="H53" s="310">
        <f>'1.3 Frota Total'!G48</f>
        <v>0</v>
      </c>
      <c r="I53" s="311">
        <f>'1.3 Frota Total'!H48</f>
        <v>0</v>
      </c>
    </row>
    <row r="54" spans="1:9" x14ac:dyDescent="0.25">
      <c r="A54" s="741"/>
      <c r="B54" s="742"/>
      <c r="C54" s="742"/>
      <c r="D54" s="743"/>
      <c r="E54" s="312">
        <v>1</v>
      </c>
      <c r="F54" s="313">
        <f>'1.3 Frota Total'!E49</f>
        <v>0</v>
      </c>
      <c r="G54" s="313">
        <f>'1.3 Frota Total'!F49</f>
        <v>0</v>
      </c>
      <c r="H54" s="313">
        <f>'1.3 Frota Total'!G49</f>
        <v>0</v>
      </c>
      <c r="I54" s="314">
        <f>'1.3 Frota Total'!H49</f>
        <v>0</v>
      </c>
    </row>
    <row r="55" spans="1:9" x14ac:dyDescent="0.25">
      <c r="A55" s="741"/>
      <c r="B55" s="742"/>
      <c r="C55" s="742"/>
      <c r="D55" s="743"/>
      <c r="E55" s="312">
        <v>2</v>
      </c>
      <c r="F55" s="313">
        <f>'1.3 Frota Total'!E50</f>
        <v>0</v>
      </c>
      <c r="G55" s="313">
        <f>'1.3 Frota Total'!F50</f>
        <v>0</v>
      </c>
      <c r="H55" s="313">
        <f>'1.3 Frota Total'!G50</f>
        <v>0</v>
      </c>
      <c r="I55" s="314">
        <f>'1.3 Frota Total'!H50</f>
        <v>0</v>
      </c>
    </row>
    <row r="56" spans="1:9" x14ac:dyDescent="0.25">
      <c r="A56" s="741"/>
      <c r="B56" s="742"/>
      <c r="C56" s="742"/>
      <c r="D56" s="743"/>
      <c r="E56" s="312">
        <v>3</v>
      </c>
      <c r="F56" s="313">
        <f>'1.3 Frota Total'!E51</f>
        <v>0</v>
      </c>
      <c r="G56" s="313">
        <f>'1.3 Frota Total'!F51</f>
        <v>0</v>
      </c>
      <c r="H56" s="313">
        <f>'1.3 Frota Total'!G51</f>
        <v>0</v>
      </c>
      <c r="I56" s="314">
        <f>'1.3 Frota Total'!H51</f>
        <v>0</v>
      </c>
    </row>
    <row r="57" spans="1:9" x14ac:dyDescent="0.25">
      <c r="A57" s="741"/>
      <c r="B57" s="742"/>
      <c r="C57" s="742"/>
      <c r="D57" s="743"/>
      <c r="E57" s="312">
        <v>4</v>
      </c>
      <c r="F57" s="313">
        <f>'1.3 Frota Total'!E52</f>
        <v>0</v>
      </c>
      <c r="G57" s="313">
        <f>'1.3 Frota Total'!F52</f>
        <v>0</v>
      </c>
      <c r="H57" s="313">
        <f>'1.3 Frota Total'!G52</f>
        <v>0</v>
      </c>
      <c r="I57" s="314">
        <f>'1.3 Frota Total'!H52</f>
        <v>0</v>
      </c>
    </row>
    <row r="58" spans="1:9" x14ac:dyDescent="0.25">
      <c r="A58" s="741"/>
      <c r="B58" s="742"/>
      <c r="C58" s="742"/>
      <c r="D58" s="743"/>
      <c r="E58" s="312">
        <v>5</v>
      </c>
      <c r="F58" s="313">
        <f>'1.3 Frota Total'!E53</f>
        <v>13</v>
      </c>
      <c r="G58" s="313">
        <f>'1.3 Frota Total'!F53</f>
        <v>0</v>
      </c>
      <c r="H58" s="313">
        <f>'1.3 Frota Total'!G53</f>
        <v>13</v>
      </c>
      <c r="I58" s="314">
        <f>'1.3 Frota Total'!H53</f>
        <v>0</v>
      </c>
    </row>
    <row r="59" spans="1:9" x14ac:dyDescent="0.25">
      <c r="A59" s="741"/>
      <c r="B59" s="742"/>
      <c r="C59" s="742"/>
      <c r="D59" s="743"/>
      <c r="E59" s="312">
        <v>6</v>
      </c>
      <c r="F59" s="313">
        <f>'1.3 Frota Total'!E54</f>
        <v>0</v>
      </c>
      <c r="G59" s="313">
        <f>'1.3 Frota Total'!F54</f>
        <v>0</v>
      </c>
      <c r="H59" s="313">
        <f>'1.3 Frota Total'!G54</f>
        <v>0</v>
      </c>
      <c r="I59" s="314">
        <f>'1.3 Frota Total'!H54</f>
        <v>0</v>
      </c>
    </row>
    <row r="60" spans="1:9" x14ac:dyDescent="0.25">
      <c r="A60" s="741"/>
      <c r="B60" s="742"/>
      <c r="C60" s="742"/>
      <c r="D60" s="743"/>
      <c r="E60" s="312">
        <v>7</v>
      </c>
      <c r="F60" s="313">
        <f>'1.3 Frota Total'!E55</f>
        <v>0</v>
      </c>
      <c r="G60" s="313">
        <f>'1.3 Frota Total'!F55</f>
        <v>0</v>
      </c>
      <c r="H60" s="313">
        <f>'1.3 Frota Total'!G55</f>
        <v>0</v>
      </c>
      <c r="I60" s="314">
        <f>'1.3 Frota Total'!H55</f>
        <v>0</v>
      </c>
    </row>
    <row r="61" spans="1:9" x14ac:dyDescent="0.25">
      <c r="A61" s="741"/>
      <c r="B61" s="742"/>
      <c r="C61" s="742"/>
      <c r="D61" s="743"/>
      <c r="E61" s="312">
        <v>8</v>
      </c>
      <c r="F61" s="313">
        <f>'1.3 Frota Total'!E56</f>
        <v>0</v>
      </c>
      <c r="G61" s="313">
        <f>'1.3 Frota Total'!F56</f>
        <v>0</v>
      </c>
      <c r="H61" s="313">
        <f>'1.3 Frota Total'!G56</f>
        <v>0</v>
      </c>
      <c r="I61" s="314">
        <f>'1.3 Frota Total'!H56</f>
        <v>0</v>
      </c>
    </row>
    <row r="62" spans="1:9" x14ac:dyDescent="0.25">
      <c r="A62" s="741"/>
      <c r="B62" s="742"/>
      <c r="C62" s="742"/>
      <c r="D62" s="743"/>
      <c r="E62" s="312">
        <v>9</v>
      </c>
      <c r="F62" s="313">
        <f>'1.3 Frota Total'!E57</f>
        <v>0</v>
      </c>
      <c r="G62" s="313">
        <f>'1.3 Frota Total'!F57</f>
        <v>0</v>
      </c>
      <c r="H62" s="313">
        <f>'1.3 Frota Total'!G57</f>
        <v>0</v>
      </c>
      <c r="I62" s="314">
        <f>'1.3 Frota Total'!H57</f>
        <v>0</v>
      </c>
    </row>
    <row r="63" spans="1:9" x14ac:dyDescent="0.25">
      <c r="A63" s="741"/>
      <c r="B63" s="742"/>
      <c r="C63" s="742"/>
      <c r="D63" s="743"/>
      <c r="E63" s="312">
        <v>10</v>
      </c>
      <c r="F63" s="313">
        <f>'1.3 Frota Total'!E58</f>
        <v>0</v>
      </c>
      <c r="G63" s="313">
        <f>'1.3 Frota Total'!F58</f>
        <v>0</v>
      </c>
      <c r="H63" s="313">
        <f>'1.3 Frota Total'!G58</f>
        <v>0</v>
      </c>
      <c r="I63" s="314">
        <f>'1.3 Frota Total'!H58</f>
        <v>0</v>
      </c>
    </row>
    <row r="64" spans="1:9" x14ac:dyDescent="0.25">
      <c r="A64" s="741"/>
      <c r="B64" s="742"/>
      <c r="C64" s="742"/>
      <c r="D64" s="743"/>
      <c r="E64" s="312">
        <v>11</v>
      </c>
      <c r="F64" s="313">
        <f>'1.3 Frota Total'!E59</f>
        <v>0</v>
      </c>
      <c r="G64" s="313">
        <f>'1.3 Frota Total'!F59</f>
        <v>0</v>
      </c>
      <c r="H64" s="313">
        <f>'1.3 Frota Total'!G59</f>
        <v>0</v>
      </c>
      <c r="I64" s="314">
        <f>'1.3 Frota Total'!H59</f>
        <v>0</v>
      </c>
    </row>
    <row r="65" spans="1:12" ht="15.75" thickBot="1" x14ac:dyDescent="0.3">
      <c r="A65" s="744"/>
      <c r="B65" s="745"/>
      <c r="C65" s="745"/>
      <c r="D65" s="746"/>
      <c r="E65" s="312">
        <v>12</v>
      </c>
      <c r="F65" s="313">
        <f>'1.3 Frota Total'!E60</f>
        <v>0</v>
      </c>
      <c r="G65" s="313">
        <f>'1.3 Frota Total'!F60</f>
        <v>0</v>
      </c>
      <c r="H65" s="313">
        <f>'1.3 Frota Total'!G60</f>
        <v>0</v>
      </c>
      <c r="I65" s="314">
        <f>'1.3 Frota Total'!H60</f>
        <v>0</v>
      </c>
    </row>
    <row r="66" spans="1:12" x14ac:dyDescent="0.25">
      <c r="A66" s="738" t="s">
        <v>14</v>
      </c>
      <c r="B66" s="739"/>
      <c r="C66" s="739"/>
      <c r="D66" s="740"/>
      <c r="E66" s="309">
        <v>0</v>
      </c>
      <c r="F66" s="310">
        <f>'1.3 Frota Total'!E61</f>
        <v>0</v>
      </c>
      <c r="G66" s="310">
        <f>'1.3 Frota Total'!F61</f>
        <v>0</v>
      </c>
      <c r="H66" s="310">
        <f>'1.3 Frota Total'!G61</f>
        <v>0</v>
      </c>
      <c r="I66" s="311">
        <f>'1.3 Frota Total'!H61</f>
        <v>0</v>
      </c>
      <c r="L66" s="110"/>
    </row>
    <row r="67" spans="1:12" x14ac:dyDescent="0.25">
      <c r="A67" s="741"/>
      <c r="B67" s="742"/>
      <c r="C67" s="742"/>
      <c r="D67" s="743"/>
      <c r="E67" s="312">
        <v>1</v>
      </c>
      <c r="F67" s="313">
        <f>'1.3 Frota Total'!E62</f>
        <v>0</v>
      </c>
      <c r="G67" s="313">
        <f>'1.3 Frota Total'!F62</f>
        <v>0</v>
      </c>
      <c r="H67" s="313">
        <f>'1.3 Frota Total'!G62</f>
        <v>0</v>
      </c>
      <c r="I67" s="314">
        <f>'1.3 Frota Total'!H62</f>
        <v>0</v>
      </c>
    </row>
    <row r="68" spans="1:12" x14ac:dyDescent="0.25">
      <c r="A68" s="741"/>
      <c r="B68" s="742"/>
      <c r="C68" s="742"/>
      <c r="D68" s="743"/>
      <c r="E68" s="312">
        <v>2</v>
      </c>
      <c r="F68" s="313">
        <f>'1.3 Frota Total'!E63</f>
        <v>0</v>
      </c>
      <c r="G68" s="313">
        <f>'1.3 Frota Total'!F63</f>
        <v>0</v>
      </c>
      <c r="H68" s="313">
        <f>'1.3 Frota Total'!G63</f>
        <v>0</v>
      </c>
      <c r="I68" s="314">
        <f>'1.3 Frota Total'!H63</f>
        <v>0</v>
      </c>
    </row>
    <row r="69" spans="1:12" x14ac:dyDescent="0.25">
      <c r="A69" s="741"/>
      <c r="B69" s="742"/>
      <c r="C69" s="742"/>
      <c r="D69" s="743"/>
      <c r="E69" s="312">
        <v>3</v>
      </c>
      <c r="F69" s="313">
        <f>'1.3 Frota Total'!E64</f>
        <v>0</v>
      </c>
      <c r="G69" s="313">
        <f>'1.3 Frota Total'!F64</f>
        <v>0</v>
      </c>
      <c r="H69" s="313">
        <f>'1.3 Frota Total'!G64</f>
        <v>0</v>
      </c>
      <c r="I69" s="314">
        <f>'1.3 Frota Total'!H64</f>
        <v>0</v>
      </c>
    </row>
    <row r="70" spans="1:12" x14ac:dyDescent="0.25">
      <c r="A70" s="741"/>
      <c r="B70" s="742"/>
      <c r="C70" s="742"/>
      <c r="D70" s="743"/>
      <c r="E70" s="312">
        <v>4</v>
      </c>
      <c r="F70" s="313">
        <f>'1.3 Frota Total'!E65</f>
        <v>0</v>
      </c>
      <c r="G70" s="313">
        <f>'1.3 Frota Total'!F65</f>
        <v>0</v>
      </c>
      <c r="H70" s="313">
        <f>'1.3 Frota Total'!G65</f>
        <v>0</v>
      </c>
      <c r="I70" s="314">
        <f>'1.3 Frota Total'!H65</f>
        <v>0</v>
      </c>
    </row>
    <row r="71" spans="1:12" x14ac:dyDescent="0.25">
      <c r="A71" s="741"/>
      <c r="B71" s="742"/>
      <c r="C71" s="742"/>
      <c r="D71" s="743"/>
      <c r="E71" s="312">
        <v>5</v>
      </c>
      <c r="F71" s="313">
        <f>'1.3 Frota Total'!E66</f>
        <v>0</v>
      </c>
      <c r="G71" s="313">
        <f>'1.3 Frota Total'!F66</f>
        <v>0</v>
      </c>
      <c r="H71" s="313">
        <f>'1.3 Frota Total'!G66</f>
        <v>5</v>
      </c>
      <c r="I71" s="314">
        <f>'1.3 Frota Total'!H66</f>
        <v>0</v>
      </c>
    </row>
    <row r="72" spans="1:12" x14ac:dyDescent="0.25">
      <c r="A72" s="741"/>
      <c r="B72" s="742"/>
      <c r="C72" s="742"/>
      <c r="D72" s="743"/>
      <c r="E72" s="312">
        <v>6</v>
      </c>
      <c r="F72" s="313">
        <f>'1.3 Frota Total'!E67</f>
        <v>0</v>
      </c>
      <c r="G72" s="313">
        <f>'1.3 Frota Total'!F67</f>
        <v>0</v>
      </c>
      <c r="H72" s="313">
        <f>'1.3 Frota Total'!G67</f>
        <v>0</v>
      </c>
      <c r="I72" s="314">
        <f>'1.3 Frota Total'!H67</f>
        <v>0</v>
      </c>
    </row>
    <row r="73" spans="1:12" x14ac:dyDescent="0.25">
      <c r="A73" s="741"/>
      <c r="B73" s="742"/>
      <c r="C73" s="742"/>
      <c r="D73" s="743"/>
      <c r="E73" s="312">
        <v>7</v>
      </c>
      <c r="F73" s="313">
        <f>'1.3 Frota Total'!E68</f>
        <v>0</v>
      </c>
      <c r="G73" s="313">
        <f>'1.3 Frota Total'!F68</f>
        <v>0</v>
      </c>
      <c r="H73" s="313">
        <f>'1.3 Frota Total'!G68</f>
        <v>0</v>
      </c>
      <c r="I73" s="314">
        <f>'1.3 Frota Total'!H68</f>
        <v>0</v>
      </c>
    </row>
    <row r="74" spans="1:12" x14ac:dyDescent="0.25">
      <c r="A74" s="741"/>
      <c r="B74" s="742"/>
      <c r="C74" s="742"/>
      <c r="D74" s="743"/>
      <c r="E74" s="312">
        <v>8</v>
      </c>
      <c r="F74" s="313">
        <f>'1.3 Frota Total'!E69</f>
        <v>0</v>
      </c>
      <c r="G74" s="313">
        <f>'1.3 Frota Total'!F69</f>
        <v>0</v>
      </c>
      <c r="H74" s="313">
        <f>'1.3 Frota Total'!G69</f>
        <v>0</v>
      </c>
      <c r="I74" s="314">
        <f>'1.3 Frota Total'!H69</f>
        <v>0</v>
      </c>
    </row>
    <row r="75" spans="1:12" x14ac:dyDescent="0.25">
      <c r="A75" s="741"/>
      <c r="B75" s="742"/>
      <c r="C75" s="742"/>
      <c r="D75" s="743"/>
      <c r="E75" s="312">
        <v>9</v>
      </c>
      <c r="F75" s="313">
        <f>'1.3 Frota Total'!E70</f>
        <v>0</v>
      </c>
      <c r="G75" s="313">
        <f>'1.3 Frota Total'!F70</f>
        <v>0</v>
      </c>
      <c r="H75" s="313">
        <f>'1.3 Frota Total'!G70</f>
        <v>0</v>
      </c>
      <c r="I75" s="314">
        <f>'1.3 Frota Total'!H70</f>
        <v>0</v>
      </c>
    </row>
    <row r="76" spans="1:12" x14ac:dyDescent="0.25">
      <c r="A76" s="741"/>
      <c r="B76" s="742"/>
      <c r="C76" s="742"/>
      <c r="D76" s="743"/>
      <c r="E76" s="312">
        <v>10</v>
      </c>
      <c r="F76" s="313">
        <f>'1.3 Frota Total'!E71</f>
        <v>0</v>
      </c>
      <c r="G76" s="313">
        <f>'1.3 Frota Total'!F71</f>
        <v>0</v>
      </c>
      <c r="H76" s="313">
        <f>'1.3 Frota Total'!G71</f>
        <v>0</v>
      </c>
      <c r="I76" s="314">
        <f>'1.3 Frota Total'!H71</f>
        <v>0</v>
      </c>
    </row>
    <row r="77" spans="1:12" x14ac:dyDescent="0.25">
      <c r="A77" s="741"/>
      <c r="B77" s="742"/>
      <c r="C77" s="742"/>
      <c r="D77" s="743"/>
      <c r="E77" s="312">
        <v>11</v>
      </c>
      <c r="F77" s="313">
        <f>'1.3 Frota Total'!E72</f>
        <v>0</v>
      </c>
      <c r="G77" s="313">
        <f>'1.3 Frota Total'!F72</f>
        <v>0</v>
      </c>
      <c r="H77" s="313">
        <f>'1.3 Frota Total'!G72</f>
        <v>0</v>
      </c>
      <c r="I77" s="314">
        <f>'1.3 Frota Total'!H72</f>
        <v>0</v>
      </c>
    </row>
    <row r="78" spans="1:12" ht="15.75" thickBot="1" x14ac:dyDescent="0.3">
      <c r="A78" s="744"/>
      <c r="B78" s="745"/>
      <c r="C78" s="745"/>
      <c r="D78" s="746"/>
      <c r="E78" s="312">
        <v>12</v>
      </c>
      <c r="F78" s="313">
        <f>'1.3 Frota Total'!E73</f>
        <v>0</v>
      </c>
      <c r="G78" s="313">
        <f>'1.3 Frota Total'!F73</f>
        <v>0</v>
      </c>
      <c r="H78" s="313">
        <f>'1.3 Frota Total'!G73</f>
        <v>0</v>
      </c>
      <c r="I78" s="314">
        <f>'1.3 Frota Total'!H73</f>
        <v>0</v>
      </c>
    </row>
    <row r="79" spans="1:12" x14ac:dyDescent="0.25">
      <c r="A79" s="741" t="s">
        <v>15</v>
      </c>
      <c r="B79" s="742"/>
      <c r="C79" s="742"/>
      <c r="D79" s="743"/>
      <c r="E79" s="309">
        <v>0</v>
      </c>
      <c r="F79" s="310">
        <f>'1.3 Frota Total'!E74</f>
        <v>0</v>
      </c>
      <c r="G79" s="310">
        <f>'1.3 Frota Total'!F74</f>
        <v>0</v>
      </c>
      <c r="H79" s="310">
        <f>'1.3 Frota Total'!G74</f>
        <v>0</v>
      </c>
      <c r="I79" s="311">
        <f>'1.3 Frota Total'!H74</f>
        <v>0</v>
      </c>
    </row>
    <row r="80" spans="1:12" x14ac:dyDescent="0.25">
      <c r="A80" s="741"/>
      <c r="B80" s="742"/>
      <c r="C80" s="742"/>
      <c r="D80" s="743"/>
      <c r="E80" s="312">
        <v>1</v>
      </c>
      <c r="F80" s="313">
        <f>'1.3 Frota Total'!E75</f>
        <v>0</v>
      </c>
      <c r="G80" s="313">
        <f>'1.3 Frota Total'!F75</f>
        <v>0</v>
      </c>
      <c r="H80" s="313">
        <f>'1.3 Frota Total'!G75</f>
        <v>0</v>
      </c>
      <c r="I80" s="314">
        <f>'1.3 Frota Total'!H75</f>
        <v>0</v>
      </c>
    </row>
    <row r="81" spans="1:9" x14ac:dyDescent="0.25">
      <c r="A81" s="741"/>
      <c r="B81" s="742"/>
      <c r="C81" s="742"/>
      <c r="D81" s="743"/>
      <c r="E81" s="312">
        <v>2</v>
      </c>
      <c r="F81" s="313">
        <f>'1.3 Frota Total'!E76</f>
        <v>0</v>
      </c>
      <c r="G81" s="313">
        <f>'1.3 Frota Total'!F76</f>
        <v>0</v>
      </c>
      <c r="H81" s="313">
        <f>'1.3 Frota Total'!G76</f>
        <v>0</v>
      </c>
      <c r="I81" s="314">
        <f>'1.3 Frota Total'!H76</f>
        <v>0</v>
      </c>
    </row>
    <row r="82" spans="1:9" x14ac:dyDescent="0.25">
      <c r="A82" s="741"/>
      <c r="B82" s="742"/>
      <c r="C82" s="742"/>
      <c r="D82" s="743"/>
      <c r="E82" s="312">
        <v>3</v>
      </c>
      <c r="F82" s="313">
        <f>'1.3 Frota Total'!E77</f>
        <v>0</v>
      </c>
      <c r="G82" s="313">
        <f>'1.3 Frota Total'!F77</f>
        <v>0</v>
      </c>
      <c r="H82" s="313">
        <f>'1.3 Frota Total'!G77</f>
        <v>0</v>
      </c>
      <c r="I82" s="314">
        <f>'1.3 Frota Total'!H77</f>
        <v>0</v>
      </c>
    </row>
    <row r="83" spans="1:9" x14ac:dyDescent="0.25">
      <c r="A83" s="741"/>
      <c r="B83" s="742"/>
      <c r="C83" s="742"/>
      <c r="D83" s="743"/>
      <c r="E83" s="312">
        <v>4</v>
      </c>
      <c r="F83" s="313">
        <f>'1.3 Frota Total'!E78</f>
        <v>0</v>
      </c>
      <c r="G83" s="313">
        <f>'1.3 Frota Total'!F78</f>
        <v>0</v>
      </c>
      <c r="H83" s="313">
        <f>'1.3 Frota Total'!G78</f>
        <v>0</v>
      </c>
      <c r="I83" s="314">
        <f>'1.3 Frota Total'!H78</f>
        <v>0</v>
      </c>
    </row>
    <row r="84" spans="1:9" x14ac:dyDescent="0.25">
      <c r="A84" s="741"/>
      <c r="B84" s="742"/>
      <c r="C84" s="742"/>
      <c r="D84" s="743"/>
      <c r="E84" s="312">
        <v>5</v>
      </c>
      <c r="F84" s="313">
        <f>'1.3 Frota Total'!E79</f>
        <v>0</v>
      </c>
      <c r="G84" s="313">
        <f>'1.3 Frota Total'!F79</f>
        <v>0</v>
      </c>
      <c r="H84" s="313">
        <f>'1.3 Frota Total'!G79</f>
        <v>0</v>
      </c>
      <c r="I84" s="314">
        <f>'1.3 Frota Total'!H79</f>
        <v>0</v>
      </c>
    </row>
    <row r="85" spans="1:9" x14ac:dyDescent="0.25">
      <c r="A85" s="741"/>
      <c r="B85" s="742"/>
      <c r="C85" s="742"/>
      <c r="D85" s="743"/>
      <c r="E85" s="312">
        <v>6</v>
      </c>
      <c r="F85" s="313">
        <f>'1.3 Frota Total'!E80</f>
        <v>0</v>
      </c>
      <c r="G85" s="313">
        <f>'1.3 Frota Total'!F80</f>
        <v>0</v>
      </c>
      <c r="H85" s="313">
        <f>'1.3 Frota Total'!G80</f>
        <v>0</v>
      </c>
      <c r="I85" s="314">
        <f>'1.3 Frota Total'!H80</f>
        <v>0</v>
      </c>
    </row>
    <row r="86" spans="1:9" x14ac:dyDescent="0.25">
      <c r="A86" s="741"/>
      <c r="B86" s="742"/>
      <c r="C86" s="742"/>
      <c r="D86" s="743"/>
      <c r="E86" s="312">
        <v>7</v>
      </c>
      <c r="F86" s="313">
        <f>'1.3 Frota Total'!E81</f>
        <v>0</v>
      </c>
      <c r="G86" s="313">
        <f>'1.3 Frota Total'!F81</f>
        <v>0</v>
      </c>
      <c r="H86" s="313">
        <f>'1.3 Frota Total'!G81</f>
        <v>0</v>
      </c>
      <c r="I86" s="314">
        <f>'1.3 Frota Total'!H81</f>
        <v>0</v>
      </c>
    </row>
    <row r="87" spans="1:9" x14ac:dyDescent="0.25">
      <c r="A87" s="741"/>
      <c r="B87" s="742"/>
      <c r="C87" s="742"/>
      <c r="D87" s="743"/>
      <c r="E87" s="312">
        <v>8</v>
      </c>
      <c r="F87" s="313">
        <f>'1.3 Frota Total'!E82</f>
        <v>0</v>
      </c>
      <c r="G87" s="313">
        <f>'1.3 Frota Total'!F82</f>
        <v>0</v>
      </c>
      <c r="H87" s="313">
        <f>'1.3 Frota Total'!G82</f>
        <v>0</v>
      </c>
      <c r="I87" s="314">
        <f>'1.3 Frota Total'!H82</f>
        <v>0</v>
      </c>
    </row>
    <row r="88" spans="1:9" x14ac:dyDescent="0.25">
      <c r="A88" s="741"/>
      <c r="B88" s="742"/>
      <c r="C88" s="742"/>
      <c r="D88" s="743"/>
      <c r="E88" s="312">
        <v>9</v>
      </c>
      <c r="F88" s="313">
        <f>'1.3 Frota Total'!E83</f>
        <v>0</v>
      </c>
      <c r="G88" s="313">
        <f>'1.3 Frota Total'!F83</f>
        <v>0</v>
      </c>
      <c r="H88" s="313">
        <f>'1.3 Frota Total'!G83</f>
        <v>0</v>
      </c>
      <c r="I88" s="314">
        <f>'1.3 Frota Total'!H83</f>
        <v>0</v>
      </c>
    </row>
    <row r="89" spans="1:9" ht="15.75" thickBot="1" x14ac:dyDescent="0.3">
      <c r="A89" s="741"/>
      <c r="B89" s="742"/>
      <c r="C89" s="742"/>
      <c r="D89" s="743"/>
      <c r="E89" s="318">
        <v>10</v>
      </c>
      <c r="F89" s="319">
        <f>'1.3 Frota Total'!E84</f>
        <v>0</v>
      </c>
      <c r="G89" s="319">
        <f>'1.3 Frota Total'!F84</f>
        <v>0</v>
      </c>
      <c r="H89" s="319">
        <f>'1.3 Frota Total'!G84</f>
        <v>0</v>
      </c>
      <c r="I89" s="320">
        <f>'1.3 Frota Total'!H84</f>
        <v>0</v>
      </c>
    </row>
    <row r="90" spans="1:9" x14ac:dyDescent="0.25">
      <c r="A90" s="759" t="s">
        <v>16</v>
      </c>
      <c r="B90" s="760"/>
      <c r="C90" s="760"/>
      <c r="D90" s="760"/>
      <c r="E90" s="309">
        <v>0</v>
      </c>
      <c r="F90" s="310">
        <f>'1.3 Frota Total'!E85</f>
        <v>0</v>
      </c>
      <c r="G90" s="310">
        <f>'1.3 Frota Total'!F85</f>
        <v>0</v>
      </c>
      <c r="H90" s="310">
        <f>'1.3 Frota Total'!G85</f>
        <v>0</v>
      </c>
      <c r="I90" s="311">
        <f>'1.3 Frota Total'!H85</f>
        <v>0</v>
      </c>
    </row>
    <row r="91" spans="1:9" x14ac:dyDescent="0.25">
      <c r="A91" s="761"/>
      <c r="B91" s="762"/>
      <c r="C91" s="762"/>
      <c r="D91" s="762"/>
      <c r="E91" s="312">
        <v>1</v>
      </c>
      <c r="F91" s="313">
        <f>'1.3 Frota Total'!E86</f>
        <v>0</v>
      </c>
      <c r="G91" s="313">
        <f>'1.3 Frota Total'!F86</f>
        <v>0</v>
      </c>
      <c r="H91" s="313">
        <f>'1.3 Frota Total'!G86</f>
        <v>0</v>
      </c>
      <c r="I91" s="314">
        <f>'1.3 Frota Total'!H86</f>
        <v>0</v>
      </c>
    </row>
    <row r="92" spans="1:9" x14ac:dyDescent="0.25">
      <c r="A92" s="761"/>
      <c r="B92" s="762"/>
      <c r="C92" s="762"/>
      <c r="D92" s="762"/>
      <c r="E92" s="312">
        <v>2</v>
      </c>
      <c r="F92" s="313">
        <f>'1.3 Frota Total'!E87</f>
        <v>0</v>
      </c>
      <c r="G92" s="313">
        <f>'1.3 Frota Total'!F87</f>
        <v>0</v>
      </c>
      <c r="H92" s="313">
        <f>'1.3 Frota Total'!G87</f>
        <v>0</v>
      </c>
      <c r="I92" s="314">
        <f>'1.3 Frota Total'!H87</f>
        <v>0</v>
      </c>
    </row>
    <row r="93" spans="1:9" x14ac:dyDescent="0.25">
      <c r="A93" s="761"/>
      <c r="B93" s="762"/>
      <c r="C93" s="762"/>
      <c r="D93" s="762"/>
      <c r="E93" s="312">
        <v>3</v>
      </c>
      <c r="F93" s="313">
        <f>'1.3 Frota Total'!E88</f>
        <v>0</v>
      </c>
      <c r="G93" s="313">
        <f>'1.3 Frota Total'!F88</f>
        <v>0</v>
      </c>
      <c r="H93" s="313">
        <f>'1.3 Frota Total'!G88</f>
        <v>0</v>
      </c>
      <c r="I93" s="314">
        <f>'1.3 Frota Total'!H88</f>
        <v>0</v>
      </c>
    </row>
    <row r="94" spans="1:9" x14ac:dyDescent="0.25">
      <c r="A94" s="761"/>
      <c r="B94" s="762"/>
      <c r="C94" s="762"/>
      <c r="D94" s="762"/>
      <c r="E94" s="312">
        <v>4</v>
      </c>
      <c r="F94" s="313">
        <f>'1.3 Frota Total'!E89</f>
        <v>0</v>
      </c>
      <c r="G94" s="313">
        <f>'1.3 Frota Total'!F89</f>
        <v>0</v>
      </c>
      <c r="H94" s="313">
        <f>'1.3 Frota Total'!G89</f>
        <v>0</v>
      </c>
      <c r="I94" s="314">
        <f>'1.3 Frota Total'!H89</f>
        <v>0</v>
      </c>
    </row>
    <row r="95" spans="1:9" x14ac:dyDescent="0.25">
      <c r="A95" s="761"/>
      <c r="B95" s="762"/>
      <c r="C95" s="762"/>
      <c r="D95" s="762"/>
      <c r="E95" s="312">
        <v>5</v>
      </c>
      <c r="F95" s="313">
        <f>'1.3 Frota Total'!E90</f>
        <v>0</v>
      </c>
      <c r="G95" s="313">
        <f>'1.3 Frota Total'!F90</f>
        <v>0</v>
      </c>
      <c r="H95" s="313">
        <f>'1.3 Frota Total'!G90</f>
        <v>0</v>
      </c>
      <c r="I95" s="314">
        <f>'1.3 Frota Total'!H90</f>
        <v>0</v>
      </c>
    </row>
    <row r="96" spans="1:9" x14ac:dyDescent="0.25">
      <c r="A96" s="761"/>
      <c r="B96" s="762"/>
      <c r="C96" s="762"/>
      <c r="D96" s="762"/>
      <c r="E96" s="312">
        <v>6</v>
      </c>
      <c r="F96" s="313">
        <f>'1.3 Frota Total'!E91</f>
        <v>0</v>
      </c>
      <c r="G96" s="313">
        <f>'1.3 Frota Total'!F91</f>
        <v>0</v>
      </c>
      <c r="H96" s="313">
        <f>'1.3 Frota Total'!G91</f>
        <v>0</v>
      </c>
      <c r="I96" s="314">
        <f>'1.3 Frota Total'!H91</f>
        <v>0</v>
      </c>
    </row>
    <row r="97" spans="1:9" x14ac:dyDescent="0.25">
      <c r="A97" s="761"/>
      <c r="B97" s="762"/>
      <c r="C97" s="762"/>
      <c r="D97" s="762"/>
      <c r="E97" s="312">
        <v>7</v>
      </c>
      <c r="F97" s="313">
        <f>'1.3 Frota Total'!E92</f>
        <v>0</v>
      </c>
      <c r="G97" s="313">
        <f>'1.3 Frota Total'!F92</f>
        <v>0</v>
      </c>
      <c r="H97" s="313">
        <f>'1.3 Frota Total'!G92</f>
        <v>0</v>
      </c>
      <c r="I97" s="314">
        <f>'1.3 Frota Total'!H92</f>
        <v>0</v>
      </c>
    </row>
    <row r="98" spans="1:9" x14ac:dyDescent="0.25">
      <c r="A98" s="761"/>
      <c r="B98" s="762"/>
      <c r="C98" s="762"/>
      <c r="D98" s="762"/>
      <c r="E98" s="312">
        <v>8</v>
      </c>
      <c r="F98" s="313">
        <f>'1.3 Frota Total'!E93</f>
        <v>0</v>
      </c>
      <c r="G98" s="313">
        <f>'1.3 Frota Total'!F93</f>
        <v>0</v>
      </c>
      <c r="H98" s="313">
        <f>'1.3 Frota Total'!G93</f>
        <v>0</v>
      </c>
      <c r="I98" s="314">
        <f>'1.3 Frota Total'!H93</f>
        <v>0</v>
      </c>
    </row>
    <row r="99" spans="1:9" x14ac:dyDescent="0.25">
      <c r="A99" s="761"/>
      <c r="B99" s="762"/>
      <c r="C99" s="762"/>
      <c r="D99" s="762"/>
      <c r="E99" s="312">
        <v>9</v>
      </c>
      <c r="F99" s="313">
        <f>'1.3 Frota Total'!E94</f>
        <v>0</v>
      </c>
      <c r="G99" s="313">
        <f>'1.3 Frota Total'!F94</f>
        <v>0</v>
      </c>
      <c r="H99" s="313">
        <f>'1.3 Frota Total'!G94</f>
        <v>0</v>
      </c>
      <c r="I99" s="314">
        <f>'1.3 Frota Total'!H94</f>
        <v>0</v>
      </c>
    </row>
    <row r="100" spans="1:9" x14ac:dyDescent="0.25">
      <c r="A100" s="761"/>
      <c r="B100" s="762"/>
      <c r="C100" s="762"/>
      <c r="D100" s="762"/>
      <c r="E100" s="312">
        <v>10</v>
      </c>
      <c r="F100" s="313">
        <f>'1.3 Frota Total'!E95</f>
        <v>0</v>
      </c>
      <c r="G100" s="313">
        <f>'1.3 Frota Total'!F95</f>
        <v>0</v>
      </c>
      <c r="H100" s="313">
        <f>'1.3 Frota Total'!G95</f>
        <v>0</v>
      </c>
      <c r="I100" s="314">
        <f>'1.3 Frota Total'!H95</f>
        <v>0</v>
      </c>
    </row>
    <row r="101" spans="1:9" x14ac:dyDescent="0.25">
      <c r="A101" s="761"/>
      <c r="B101" s="762"/>
      <c r="C101" s="762"/>
      <c r="D101" s="762"/>
      <c r="E101" s="312">
        <v>11</v>
      </c>
      <c r="F101" s="313">
        <f>'1.3 Frota Total'!E96</f>
        <v>0</v>
      </c>
      <c r="G101" s="313">
        <f>'1.3 Frota Total'!F96</f>
        <v>0</v>
      </c>
      <c r="H101" s="313">
        <f>'1.3 Frota Total'!G96</f>
        <v>0</v>
      </c>
      <c r="I101" s="314">
        <f>'1.3 Frota Total'!H96</f>
        <v>0</v>
      </c>
    </row>
    <row r="102" spans="1:9" ht="15.75" thickBot="1" x14ac:dyDescent="0.3">
      <c r="A102" s="763"/>
      <c r="B102" s="764"/>
      <c r="C102" s="764"/>
      <c r="D102" s="764"/>
      <c r="E102" s="318">
        <v>12</v>
      </c>
      <c r="F102" s="319">
        <f>'1.3 Frota Total'!E97</f>
        <v>0</v>
      </c>
      <c r="G102" s="319">
        <f>'1.3 Frota Total'!F97</f>
        <v>0</v>
      </c>
      <c r="H102" s="319">
        <f>'1.3 Frota Total'!G97</f>
        <v>0</v>
      </c>
      <c r="I102" s="320">
        <f>'1.3 Frota Total'!H97</f>
        <v>0</v>
      </c>
    </row>
    <row r="103" spans="1:9" x14ac:dyDescent="0.25">
      <c r="A103" s="738" t="s">
        <v>17</v>
      </c>
      <c r="B103" s="739"/>
      <c r="C103" s="739"/>
      <c r="D103" s="740"/>
      <c r="E103" s="309">
        <v>0</v>
      </c>
      <c r="F103" s="310">
        <f>'1.3 Frota Total'!E98</f>
        <v>0</v>
      </c>
      <c r="G103" s="310">
        <f>'1.3 Frota Total'!F98</f>
        <v>0</v>
      </c>
      <c r="H103" s="310">
        <f>'1.3 Frota Total'!G98</f>
        <v>0</v>
      </c>
      <c r="I103" s="311">
        <f>'1.3 Frota Total'!H98</f>
        <v>0</v>
      </c>
    </row>
    <row r="104" spans="1:9" x14ac:dyDescent="0.25">
      <c r="A104" s="741"/>
      <c r="B104" s="742"/>
      <c r="C104" s="742"/>
      <c r="D104" s="743"/>
      <c r="E104" s="312">
        <v>1</v>
      </c>
      <c r="F104" s="313">
        <f>'1.3 Frota Total'!E99</f>
        <v>0</v>
      </c>
      <c r="G104" s="313">
        <f>'1.3 Frota Total'!F99</f>
        <v>0</v>
      </c>
      <c r="H104" s="313">
        <f>'1.3 Frota Total'!G99</f>
        <v>0</v>
      </c>
      <c r="I104" s="314">
        <f>'1.3 Frota Total'!H99</f>
        <v>0</v>
      </c>
    </row>
    <row r="105" spans="1:9" x14ac:dyDescent="0.25">
      <c r="A105" s="741"/>
      <c r="B105" s="742"/>
      <c r="C105" s="742"/>
      <c r="D105" s="743"/>
      <c r="E105" s="312">
        <v>2</v>
      </c>
      <c r="F105" s="313">
        <f>'1.3 Frota Total'!E100</f>
        <v>0</v>
      </c>
      <c r="G105" s="313">
        <f>'1.3 Frota Total'!F100</f>
        <v>0</v>
      </c>
      <c r="H105" s="313">
        <f>'1.3 Frota Total'!G100</f>
        <v>0</v>
      </c>
      <c r="I105" s="314">
        <f>'1.3 Frota Total'!H100</f>
        <v>0</v>
      </c>
    </row>
    <row r="106" spans="1:9" x14ac:dyDescent="0.25">
      <c r="A106" s="741"/>
      <c r="B106" s="742"/>
      <c r="C106" s="742"/>
      <c r="D106" s="743"/>
      <c r="E106" s="312">
        <v>3</v>
      </c>
      <c r="F106" s="313">
        <f>'1.3 Frota Total'!E101</f>
        <v>0</v>
      </c>
      <c r="G106" s="313">
        <f>'1.3 Frota Total'!F101</f>
        <v>0</v>
      </c>
      <c r="H106" s="313">
        <f>'1.3 Frota Total'!G101</f>
        <v>0</v>
      </c>
      <c r="I106" s="314">
        <f>'1.3 Frota Total'!H101</f>
        <v>0</v>
      </c>
    </row>
    <row r="107" spans="1:9" x14ac:dyDescent="0.25">
      <c r="A107" s="741"/>
      <c r="B107" s="742"/>
      <c r="C107" s="742"/>
      <c r="D107" s="743"/>
      <c r="E107" s="312">
        <v>4</v>
      </c>
      <c r="F107" s="313">
        <f>'1.3 Frota Total'!E102</f>
        <v>0</v>
      </c>
      <c r="G107" s="313">
        <f>'1.3 Frota Total'!F102</f>
        <v>0</v>
      </c>
      <c r="H107" s="313">
        <f>'1.3 Frota Total'!G102</f>
        <v>0</v>
      </c>
      <c r="I107" s="314">
        <f>'1.3 Frota Total'!H102</f>
        <v>0</v>
      </c>
    </row>
    <row r="108" spans="1:9" x14ac:dyDescent="0.25">
      <c r="A108" s="741"/>
      <c r="B108" s="742"/>
      <c r="C108" s="742"/>
      <c r="D108" s="743"/>
      <c r="E108" s="312">
        <v>5</v>
      </c>
      <c r="F108" s="313">
        <f>'1.3 Frota Total'!E103</f>
        <v>0</v>
      </c>
      <c r="G108" s="313">
        <f>'1.3 Frota Total'!F103</f>
        <v>0</v>
      </c>
      <c r="H108" s="313">
        <f>'1.3 Frota Total'!G103</f>
        <v>0</v>
      </c>
      <c r="I108" s="314">
        <f>'1.3 Frota Total'!H103</f>
        <v>0</v>
      </c>
    </row>
    <row r="109" spans="1:9" x14ac:dyDescent="0.25">
      <c r="A109" s="741"/>
      <c r="B109" s="742"/>
      <c r="C109" s="742"/>
      <c r="D109" s="743"/>
      <c r="E109" s="312">
        <v>6</v>
      </c>
      <c r="F109" s="313">
        <f>'1.3 Frota Total'!E104</f>
        <v>0</v>
      </c>
      <c r="G109" s="313">
        <f>'1.3 Frota Total'!F104</f>
        <v>0</v>
      </c>
      <c r="H109" s="313">
        <f>'1.3 Frota Total'!G104</f>
        <v>0</v>
      </c>
      <c r="I109" s="314">
        <f>'1.3 Frota Total'!H104</f>
        <v>0</v>
      </c>
    </row>
    <row r="110" spans="1:9" x14ac:dyDescent="0.25">
      <c r="A110" s="741"/>
      <c r="B110" s="742"/>
      <c r="C110" s="742"/>
      <c r="D110" s="743"/>
      <c r="E110" s="312">
        <v>7</v>
      </c>
      <c r="F110" s="313">
        <f>'1.3 Frota Total'!E105</f>
        <v>0</v>
      </c>
      <c r="G110" s="313">
        <f>'1.3 Frota Total'!F105</f>
        <v>0</v>
      </c>
      <c r="H110" s="313">
        <f>'1.3 Frota Total'!G105</f>
        <v>0</v>
      </c>
      <c r="I110" s="314">
        <f>'1.3 Frota Total'!H105</f>
        <v>0</v>
      </c>
    </row>
    <row r="111" spans="1:9" x14ac:dyDescent="0.25">
      <c r="A111" s="741"/>
      <c r="B111" s="742"/>
      <c r="C111" s="742"/>
      <c r="D111" s="743"/>
      <c r="E111" s="312">
        <v>8</v>
      </c>
      <c r="F111" s="313">
        <f>'1.3 Frota Total'!E106</f>
        <v>0</v>
      </c>
      <c r="G111" s="313">
        <f>'1.3 Frota Total'!F106</f>
        <v>0</v>
      </c>
      <c r="H111" s="313">
        <f>'1.3 Frota Total'!G106</f>
        <v>0</v>
      </c>
      <c r="I111" s="314">
        <f>'1.3 Frota Total'!H106</f>
        <v>0</v>
      </c>
    </row>
    <row r="112" spans="1:9" x14ac:dyDescent="0.25">
      <c r="A112" s="741"/>
      <c r="B112" s="742"/>
      <c r="C112" s="742"/>
      <c r="D112" s="743"/>
      <c r="E112" s="312">
        <v>9</v>
      </c>
      <c r="F112" s="313">
        <f>'1.3 Frota Total'!E107</f>
        <v>0</v>
      </c>
      <c r="G112" s="313">
        <f>'1.3 Frota Total'!F107</f>
        <v>0</v>
      </c>
      <c r="H112" s="313">
        <f>'1.3 Frota Total'!G107</f>
        <v>0</v>
      </c>
      <c r="I112" s="314">
        <f>'1.3 Frota Total'!H107</f>
        <v>0</v>
      </c>
    </row>
    <row r="113" spans="1:10" x14ac:dyDescent="0.25">
      <c r="A113" s="741"/>
      <c r="B113" s="742"/>
      <c r="C113" s="742"/>
      <c r="D113" s="743"/>
      <c r="E113" s="312">
        <v>10</v>
      </c>
      <c r="F113" s="313">
        <f>'1.3 Frota Total'!E108</f>
        <v>0</v>
      </c>
      <c r="G113" s="313">
        <f>'1.3 Frota Total'!F108</f>
        <v>0</v>
      </c>
      <c r="H113" s="313">
        <f>'1.3 Frota Total'!G108</f>
        <v>0</v>
      </c>
      <c r="I113" s="314">
        <f>'1.3 Frota Total'!H108</f>
        <v>0</v>
      </c>
    </row>
    <row r="114" spans="1:10" x14ac:dyDescent="0.25">
      <c r="A114" s="741"/>
      <c r="B114" s="742"/>
      <c r="C114" s="742"/>
      <c r="D114" s="743"/>
      <c r="E114" s="312">
        <v>11</v>
      </c>
      <c r="F114" s="313">
        <f>'1.3 Frota Total'!E109</f>
        <v>0</v>
      </c>
      <c r="G114" s="313">
        <f>'1.3 Frota Total'!F109</f>
        <v>0</v>
      </c>
      <c r="H114" s="313">
        <f>'1.3 Frota Total'!G109</f>
        <v>0</v>
      </c>
      <c r="I114" s="314">
        <f>'1.3 Frota Total'!H109</f>
        <v>0</v>
      </c>
    </row>
    <row r="115" spans="1:10" ht="15.75" thickBot="1" x14ac:dyDescent="0.3">
      <c r="A115" s="744"/>
      <c r="B115" s="745"/>
      <c r="C115" s="745"/>
      <c r="D115" s="746"/>
      <c r="E115" s="315">
        <v>12</v>
      </c>
      <c r="F115" s="316">
        <f>'1.3 Frota Total'!E110</f>
        <v>0</v>
      </c>
      <c r="G115" s="316">
        <f>'1.3 Frota Total'!F110</f>
        <v>0</v>
      </c>
      <c r="H115" s="316">
        <f>'1.3 Frota Total'!G110</f>
        <v>0</v>
      </c>
      <c r="I115" s="317">
        <f>'1.3 Frota Total'!H110</f>
        <v>0</v>
      </c>
    </row>
    <row r="117" spans="1:10" x14ac:dyDescent="0.25">
      <c r="A117" s="78" t="s">
        <v>715</v>
      </c>
      <c r="B117" s="78" t="s">
        <v>134</v>
      </c>
    </row>
    <row r="118" spans="1:10" x14ac:dyDescent="0.25">
      <c r="A118" s="597" t="s">
        <v>8</v>
      </c>
      <c r="B118" s="597"/>
      <c r="C118" s="597"/>
      <c r="D118" s="597"/>
      <c r="E118" s="767" t="s">
        <v>120</v>
      </c>
      <c r="F118" s="765" t="s">
        <v>6</v>
      </c>
      <c r="G118" s="766"/>
      <c r="H118" s="765" t="s">
        <v>7</v>
      </c>
      <c r="I118" s="766"/>
      <c r="J118" s="767" t="s">
        <v>131</v>
      </c>
    </row>
    <row r="119" spans="1:10" ht="15.75" thickBot="1" x14ac:dyDescent="0.3">
      <c r="A119" s="767"/>
      <c r="B119" s="767"/>
      <c r="C119" s="767"/>
      <c r="D119" s="767"/>
      <c r="E119" s="783"/>
      <c r="F119" s="324" t="s">
        <v>9</v>
      </c>
      <c r="G119" s="324" t="s">
        <v>10</v>
      </c>
      <c r="H119" s="324" t="s">
        <v>9</v>
      </c>
      <c r="I119" s="324" t="s">
        <v>10</v>
      </c>
      <c r="J119" s="783" t="s">
        <v>131</v>
      </c>
    </row>
    <row r="120" spans="1:10" x14ac:dyDescent="0.25">
      <c r="A120" s="768" t="s">
        <v>129</v>
      </c>
      <c r="B120" s="769"/>
      <c r="C120" s="769"/>
      <c r="D120" s="770"/>
      <c r="E120" s="325">
        <v>0</v>
      </c>
      <c r="F120" s="326">
        <f t="shared" ref="F120:I125" si="7">F36*$J120</f>
        <v>0</v>
      </c>
      <c r="G120" s="326">
        <f t="shared" si="7"/>
        <v>0</v>
      </c>
      <c r="H120" s="326">
        <f t="shared" si="7"/>
        <v>0</v>
      </c>
      <c r="I120" s="326">
        <f t="shared" si="7"/>
        <v>0</v>
      </c>
      <c r="J120" s="327">
        <f t="shared" ref="J120:J130" si="8">D19</f>
        <v>0.16363636363636364</v>
      </c>
    </row>
    <row r="121" spans="1:10" x14ac:dyDescent="0.25">
      <c r="A121" s="725"/>
      <c r="B121" s="726"/>
      <c r="C121" s="726"/>
      <c r="D121" s="727"/>
      <c r="E121" s="328">
        <v>1</v>
      </c>
      <c r="F121" s="329">
        <f t="shared" si="7"/>
        <v>0</v>
      </c>
      <c r="G121" s="329">
        <f t="shared" si="7"/>
        <v>0</v>
      </c>
      <c r="H121" s="329">
        <f t="shared" si="7"/>
        <v>0</v>
      </c>
      <c r="I121" s="329">
        <f t="shared" si="7"/>
        <v>0</v>
      </c>
      <c r="J121" s="330">
        <f t="shared" si="8"/>
        <v>0.14727272727272728</v>
      </c>
    </row>
    <row r="122" spans="1:10" x14ac:dyDescent="0.25">
      <c r="A122" s="725"/>
      <c r="B122" s="726"/>
      <c r="C122" s="726"/>
      <c r="D122" s="727"/>
      <c r="E122" s="328">
        <v>2</v>
      </c>
      <c r="F122" s="329">
        <f t="shared" si="7"/>
        <v>0</v>
      </c>
      <c r="G122" s="329">
        <f t="shared" si="7"/>
        <v>0</v>
      </c>
      <c r="H122" s="329">
        <f t="shared" si="7"/>
        <v>0</v>
      </c>
      <c r="I122" s="329">
        <f t="shared" si="7"/>
        <v>0</v>
      </c>
      <c r="J122" s="330">
        <f t="shared" si="8"/>
        <v>0.13090909090909092</v>
      </c>
    </row>
    <row r="123" spans="1:10" x14ac:dyDescent="0.25">
      <c r="A123" s="725"/>
      <c r="B123" s="726"/>
      <c r="C123" s="726"/>
      <c r="D123" s="727"/>
      <c r="E123" s="328">
        <v>3</v>
      </c>
      <c r="F123" s="329">
        <f t="shared" si="7"/>
        <v>0</v>
      </c>
      <c r="G123" s="329">
        <f t="shared" si="7"/>
        <v>0</v>
      </c>
      <c r="H123" s="329">
        <f t="shared" si="7"/>
        <v>0</v>
      </c>
      <c r="I123" s="329">
        <f t="shared" si="7"/>
        <v>0</v>
      </c>
      <c r="J123" s="330">
        <f t="shared" si="8"/>
        <v>0.11454545454545455</v>
      </c>
    </row>
    <row r="124" spans="1:10" x14ac:dyDescent="0.25">
      <c r="A124" s="725"/>
      <c r="B124" s="726"/>
      <c r="C124" s="726"/>
      <c r="D124" s="727"/>
      <c r="E124" s="328">
        <v>4</v>
      </c>
      <c r="F124" s="329">
        <f t="shared" si="7"/>
        <v>0</v>
      </c>
      <c r="G124" s="329">
        <f t="shared" si="7"/>
        <v>0</v>
      </c>
      <c r="H124" s="329">
        <f t="shared" si="7"/>
        <v>0</v>
      </c>
      <c r="I124" s="329">
        <f t="shared" si="7"/>
        <v>0</v>
      </c>
      <c r="J124" s="330">
        <f t="shared" si="8"/>
        <v>9.818181818181819E-2</v>
      </c>
    </row>
    <row r="125" spans="1:10" x14ac:dyDescent="0.25">
      <c r="A125" s="725"/>
      <c r="B125" s="726"/>
      <c r="C125" s="726"/>
      <c r="D125" s="727"/>
      <c r="E125" s="328">
        <v>5</v>
      </c>
      <c r="F125" s="329">
        <f t="shared" si="7"/>
        <v>0.9</v>
      </c>
      <c r="G125" s="329">
        <f t="shared" si="7"/>
        <v>0</v>
      </c>
      <c r="H125" s="329">
        <f t="shared" si="7"/>
        <v>0</v>
      </c>
      <c r="I125" s="329">
        <f t="shared" si="7"/>
        <v>0</v>
      </c>
      <c r="J125" s="330">
        <f t="shared" si="8"/>
        <v>8.1818181818181818E-2</v>
      </c>
    </row>
    <row r="126" spans="1:10" x14ac:dyDescent="0.25">
      <c r="A126" s="725"/>
      <c r="B126" s="726"/>
      <c r="C126" s="726"/>
      <c r="D126" s="727"/>
      <c r="E126" s="328">
        <v>6</v>
      </c>
      <c r="F126" s="329">
        <f t="shared" ref="F126:I126" si="9">F42*$J126</f>
        <v>0</v>
      </c>
      <c r="G126" s="329">
        <f t="shared" si="9"/>
        <v>0</v>
      </c>
      <c r="H126" s="329">
        <f t="shared" si="9"/>
        <v>0</v>
      </c>
      <c r="I126" s="329">
        <f t="shared" si="9"/>
        <v>0</v>
      </c>
      <c r="J126" s="330">
        <f t="shared" si="8"/>
        <v>6.545454545454546E-2</v>
      </c>
    </row>
    <row r="127" spans="1:10" x14ac:dyDescent="0.25">
      <c r="A127" s="725"/>
      <c r="B127" s="726"/>
      <c r="C127" s="726"/>
      <c r="D127" s="727"/>
      <c r="E127" s="328">
        <v>7</v>
      </c>
      <c r="F127" s="329">
        <f t="shared" ref="F127:I127" si="10">F43*$J127</f>
        <v>0</v>
      </c>
      <c r="G127" s="329">
        <f t="shared" si="10"/>
        <v>0</v>
      </c>
      <c r="H127" s="329">
        <f t="shared" si="10"/>
        <v>0</v>
      </c>
      <c r="I127" s="329">
        <f t="shared" si="10"/>
        <v>0</v>
      </c>
      <c r="J127" s="330">
        <f t="shared" si="8"/>
        <v>4.9090909090909095E-2</v>
      </c>
    </row>
    <row r="128" spans="1:10" x14ac:dyDescent="0.25">
      <c r="A128" s="725"/>
      <c r="B128" s="726"/>
      <c r="C128" s="726"/>
      <c r="D128" s="727"/>
      <c r="E128" s="328">
        <v>8</v>
      </c>
      <c r="F128" s="329">
        <f t="shared" ref="F128:I128" si="11">F44*$J128</f>
        <v>0</v>
      </c>
      <c r="G128" s="329">
        <f t="shared" si="11"/>
        <v>0</v>
      </c>
      <c r="H128" s="329">
        <f t="shared" si="11"/>
        <v>0</v>
      </c>
      <c r="I128" s="329">
        <f t="shared" si="11"/>
        <v>0</v>
      </c>
      <c r="J128" s="330">
        <f t="shared" si="8"/>
        <v>3.272727272727273E-2</v>
      </c>
    </row>
    <row r="129" spans="1:10" x14ac:dyDescent="0.25">
      <c r="A129" s="725"/>
      <c r="B129" s="726"/>
      <c r="C129" s="726"/>
      <c r="D129" s="727"/>
      <c r="E129" s="328">
        <v>9</v>
      </c>
      <c r="F129" s="329">
        <f t="shared" ref="F129:I129" si="12">F45*$J129</f>
        <v>0</v>
      </c>
      <c r="G129" s="329">
        <f t="shared" si="12"/>
        <v>0</v>
      </c>
      <c r="H129" s="329">
        <f t="shared" si="12"/>
        <v>0</v>
      </c>
      <c r="I129" s="329">
        <f t="shared" si="12"/>
        <v>0</v>
      </c>
      <c r="J129" s="330">
        <f t="shared" si="8"/>
        <v>1.6363636363636365E-2</v>
      </c>
    </row>
    <row r="130" spans="1:10" ht="15.75" thickBot="1" x14ac:dyDescent="0.3">
      <c r="A130" s="771"/>
      <c r="B130" s="772"/>
      <c r="C130" s="772"/>
      <c r="D130" s="773"/>
      <c r="E130" s="328">
        <v>10</v>
      </c>
      <c r="F130" s="332">
        <f t="shared" ref="F130:I130" si="13">F46*$J130</f>
        <v>0</v>
      </c>
      <c r="G130" s="332">
        <f t="shared" si="13"/>
        <v>0</v>
      </c>
      <c r="H130" s="332">
        <f t="shared" si="13"/>
        <v>0</v>
      </c>
      <c r="I130" s="332">
        <f t="shared" si="13"/>
        <v>0</v>
      </c>
      <c r="J130" s="333">
        <f t="shared" si="8"/>
        <v>0</v>
      </c>
    </row>
    <row r="131" spans="1:10" x14ac:dyDescent="0.25">
      <c r="A131" s="768" t="s">
        <v>12</v>
      </c>
      <c r="B131" s="769"/>
      <c r="C131" s="769"/>
      <c r="D131" s="770"/>
      <c r="E131" s="325">
        <v>0</v>
      </c>
      <c r="F131" s="326">
        <f t="shared" ref="F131:I145" si="14">F47*$J131</f>
        <v>0</v>
      </c>
      <c r="G131" s="326">
        <f t="shared" si="14"/>
        <v>0</v>
      </c>
      <c r="H131" s="326">
        <f t="shared" si="14"/>
        <v>0</v>
      </c>
      <c r="I131" s="326">
        <f t="shared" si="14"/>
        <v>0</v>
      </c>
      <c r="J131" s="327">
        <f t="shared" ref="J131:J136" si="15">D19</f>
        <v>0.16363636363636364</v>
      </c>
    </row>
    <row r="132" spans="1:10" x14ac:dyDescent="0.25">
      <c r="A132" s="725"/>
      <c r="B132" s="726"/>
      <c r="C132" s="726"/>
      <c r="D132" s="727"/>
      <c r="E132" s="328">
        <v>1</v>
      </c>
      <c r="F132" s="329">
        <f t="shared" si="14"/>
        <v>0</v>
      </c>
      <c r="G132" s="329">
        <f t="shared" si="14"/>
        <v>0</v>
      </c>
      <c r="H132" s="329">
        <f t="shared" si="14"/>
        <v>0</v>
      </c>
      <c r="I132" s="329">
        <f t="shared" si="14"/>
        <v>0</v>
      </c>
      <c r="J132" s="334">
        <f t="shared" si="15"/>
        <v>0.14727272727272728</v>
      </c>
    </row>
    <row r="133" spans="1:10" x14ac:dyDescent="0.25">
      <c r="A133" s="725"/>
      <c r="B133" s="726"/>
      <c r="C133" s="726"/>
      <c r="D133" s="727"/>
      <c r="E133" s="328">
        <v>2</v>
      </c>
      <c r="F133" s="329">
        <f t="shared" si="14"/>
        <v>0</v>
      </c>
      <c r="G133" s="329">
        <f t="shared" si="14"/>
        <v>0</v>
      </c>
      <c r="H133" s="329">
        <f t="shared" si="14"/>
        <v>0</v>
      </c>
      <c r="I133" s="329">
        <f t="shared" si="14"/>
        <v>0</v>
      </c>
      <c r="J133" s="334">
        <f t="shared" si="15"/>
        <v>0.13090909090909092</v>
      </c>
    </row>
    <row r="134" spans="1:10" x14ac:dyDescent="0.25">
      <c r="A134" s="725"/>
      <c r="B134" s="726"/>
      <c r="C134" s="726"/>
      <c r="D134" s="727"/>
      <c r="E134" s="328">
        <v>3</v>
      </c>
      <c r="F134" s="329">
        <f t="shared" si="14"/>
        <v>0</v>
      </c>
      <c r="G134" s="329">
        <f t="shared" si="14"/>
        <v>0</v>
      </c>
      <c r="H134" s="329">
        <f t="shared" si="14"/>
        <v>0</v>
      </c>
      <c r="I134" s="329">
        <f t="shared" si="14"/>
        <v>0</v>
      </c>
      <c r="J134" s="334">
        <f t="shared" si="15"/>
        <v>0.11454545454545455</v>
      </c>
    </row>
    <row r="135" spans="1:10" x14ac:dyDescent="0.25">
      <c r="A135" s="725"/>
      <c r="B135" s="726"/>
      <c r="C135" s="726"/>
      <c r="D135" s="727"/>
      <c r="E135" s="328">
        <v>4</v>
      </c>
      <c r="F135" s="329">
        <f t="shared" si="14"/>
        <v>0</v>
      </c>
      <c r="G135" s="329">
        <f t="shared" si="14"/>
        <v>0</v>
      </c>
      <c r="H135" s="329">
        <f t="shared" si="14"/>
        <v>0</v>
      </c>
      <c r="I135" s="329">
        <f t="shared" si="14"/>
        <v>0</v>
      </c>
      <c r="J135" s="334">
        <f t="shared" si="15"/>
        <v>9.818181818181819E-2</v>
      </c>
    </row>
    <row r="136" spans="1:10" ht="15.75" thickBot="1" x14ac:dyDescent="0.3">
      <c r="A136" s="771"/>
      <c r="B136" s="772"/>
      <c r="C136" s="772"/>
      <c r="D136" s="773"/>
      <c r="E136" s="331">
        <v>5</v>
      </c>
      <c r="F136" s="332">
        <f t="shared" si="14"/>
        <v>0</v>
      </c>
      <c r="G136" s="332">
        <f t="shared" si="14"/>
        <v>0</v>
      </c>
      <c r="H136" s="332">
        <f t="shared" si="14"/>
        <v>0</v>
      </c>
      <c r="I136" s="332">
        <f t="shared" si="14"/>
        <v>0</v>
      </c>
      <c r="J136" s="335">
        <f t="shared" si="15"/>
        <v>8.1818181818181818E-2</v>
      </c>
    </row>
    <row r="137" spans="1:10" x14ac:dyDescent="0.25">
      <c r="A137" s="768" t="s">
        <v>13</v>
      </c>
      <c r="B137" s="769"/>
      <c r="C137" s="769"/>
      <c r="D137" s="770"/>
      <c r="E137" s="325">
        <v>0</v>
      </c>
      <c r="F137" s="326">
        <f t="shared" si="14"/>
        <v>0</v>
      </c>
      <c r="G137" s="326">
        <f t="shared" si="14"/>
        <v>0</v>
      </c>
      <c r="H137" s="326">
        <f t="shared" si="14"/>
        <v>0</v>
      </c>
      <c r="I137" s="326">
        <f t="shared" si="14"/>
        <v>0</v>
      </c>
      <c r="J137" s="327">
        <f t="shared" ref="J137:J149" si="16">E19</f>
        <v>0.16363636363636364</v>
      </c>
    </row>
    <row r="138" spans="1:10" x14ac:dyDescent="0.25">
      <c r="A138" s="725"/>
      <c r="B138" s="726"/>
      <c r="C138" s="726"/>
      <c r="D138" s="727"/>
      <c r="E138" s="328">
        <v>1</v>
      </c>
      <c r="F138" s="329">
        <f t="shared" si="14"/>
        <v>0</v>
      </c>
      <c r="G138" s="329">
        <f t="shared" si="14"/>
        <v>0</v>
      </c>
      <c r="H138" s="329">
        <f t="shared" si="14"/>
        <v>0</v>
      </c>
      <c r="I138" s="329">
        <f t="shared" si="14"/>
        <v>0</v>
      </c>
      <c r="J138" s="334">
        <f t="shared" si="16"/>
        <v>0.14727272727272728</v>
      </c>
    </row>
    <row r="139" spans="1:10" x14ac:dyDescent="0.25">
      <c r="A139" s="725"/>
      <c r="B139" s="726"/>
      <c r="C139" s="726"/>
      <c r="D139" s="727"/>
      <c r="E139" s="328">
        <v>2</v>
      </c>
      <c r="F139" s="329">
        <f t="shared" si="14"/>
        <v>0</v>
      </c>
      <c r="G139" s="329">
        <f t="shared" si="14"/>
        <v>0</v>
      </c>
      <c r="H139" s="329">
        <f t="shared" si="14"/>
        <v>0</v>
      </c>
      <c r="I139" s="329">
        <f t="shared" si="14"/>
        <v>0</v>
      </c>
      <c r="J139" s="334">
        <f t="shared" si="16"/>
        <v>0.13090909090909092</v>
      </c>
    </row>
    <row r="140" spans="1:10" x14ac:dyDescent="0.25">
      <c r="A140" s="725"/>
      <c r="B140" s="726"/>
      <c r="C140" s="726"/>
      <c r="D140" s="727"/>
      <c r="E140" s="328">
        <v>3</v>
      </c>
      <c r="F140" s="329">
        <f t="shared" si="14"/>
        <v>0</v>
      </c>
      <c r="G140" s="329">
        <f t="shared" si="14"/>
        <v>0</v>
      </c>
      <c r="H140" s="329">
        <f t="shared" si="14"/>
        <v>0</v>
      </c>
      <c r="I140" s="329">
        <f t="shared" si="14"/>
        <v>0</v>
      </c>
      <c r="J140" s="334">
        <f t="shared" si="16"/>
        <v>0.11454545454545455</v>
      </c>
    </row>
    <row r="141" spans="1:10" x14ac:dyDescent="0.25">
      <c r="A141" s="725"/>
      <c r="B141" s="726"/>
      <c r="C141" s="726"/>
      <c r="D141" s="727"/>
      <c r="E141" s="328">
        <v>4</v>
      </c>
      <c r="F141" s="329">
        <f t="shared" si="14"/>
        <v>0</v>
      </c>
      <c r="G141" s="329">
        <f t="shared" si="14"/>
        <v>0</v>
      </c>
      <c r="H141" s="329">
        <f t="shared" si="14"/>
        <v>0</v>
      </c>
      <c r="I141" s="329">
        <f t="shared" si="14"/>
        <v>0</v>
      </c>
      <c r="J141" s="334">
        <f t="shared" si="16"/>
        <v>9.818181818181819E-2</v>
      </c>
    </row>
    <row r="142" spans="1:10" x14ac:dyDescent="0.25">
      <c r="A142" s="725"/>
      <c r="B142" s="726"/>
      <c r="C142" s="726"/>
      <c r="D142" s="727"/>
      <c r="E142" s="328">
        <v>5</v>
      </c>
      <c r="F142" s="329">
        <f t="shared" si="14"/>
        <v>1.0636363636363637</v>
      </c>
      <c r="G142" s="329">
        <f t="shared" si="14"/>
        <v>0</v>
      </c>
      <c r="H142" s="329">
        <f t="shared" si="14"/>
        <v>1.0636363636363637</v>
      </c>
      <c r="I142" s="329">
        <f t="shared" si="14"/>
        <v>0</v>
      </c>
      <c r="J142" s="334">
        <f t="shared" si="16"/>
        <v>8.1818181818181818E-2</v>
      </c>
    </row>
    <row r="143" spans="1:10" x14ac:dyDescent="0.25">
      <c r="A143" s="725"/>
      <c r="B143" s="726"/>
      <c r="C143" s="726"/>
      <c r="D143" s="727"/>
      <c r="E143" s="328">
        <v>6</v>
      </c>
      <c r="F143" s="329">
        <f t="shared" si="14"/>
        <v>0</v>
      </c>
      <c r="G143" s="329">
        <f t="shared" si="14"/>
        <v>0</v>
      </c>
      <c r="H143" s="329">
        <f t="shared" si="14"/>
        <v>0</v>
      </c>
      <c r="I143" s="329">
        <f t="shared" si="14"/>
        <v>0</v>
      </c>
      <c r="J143" s="334">
        <f t="shared" si="16"/>
        <v>6.545454545454546E-2</v>
      </c>
    </row>
    <row r="144" spans="1:10" x14ac:dyDescent="0.25">
      <c r="A144" s="725"/>
      <c r="B144" s="726"/>
      <c r="C144" s="726"/>
      <c r="D144" s="727"/>
      <c r="E144" s="328">
        <v>7</v>
      </c>
      <c r="F144" s="329">
        <f t="shared" si="14"/>
        <v>0</v>
      </c>
      <c r="G144" s="329">
        <f t="shared" si="14"/>
        <v>0</v>
      </c>
      <c r="H144" s="329">
        <f t="shared" si="14"/>
        <v>0</v>
      </c>
      <c r="I144" s="329">
        <f t="shared" si="14"/>
        <v>0</v>
      </c>
      <c r="J144" s="334">
        <f t="shared" si="16"/>
        <v>4.9090909090909095E-2</v>
      </c>
    </row>
    <row r="145" spans="1:10" x14ac:dyDescent="0.25">
      <c r="A145" s="725"/>
      <c r="B145" s="726"/>
      <c r="C145" s="726"/>
      <c r="D145" s="727"/>
      <c r="E145" s="328">
        <v>8</v>
      </c>
      <c r="F145" s="329">
        <f t="shared" si="14"/>
        <v>0</v>
      </c>
      <c r="G145" s="329">
        <f t="shared" si="14"/>
        <v>0</v>
      </c>
      <c r="H145" s="329">
        <f t="shared" si="14"/>
        <v>0</v>
      </c>
      <c r="I145" s="329">
        <f t="shared" si="14"/>
        <v>0</v>
      </c>
      <c r="J145" s="334">
        <f t="shared" si="16"/>
        <v>3.272727272727273E-2</v>
      </c>
    </row>
    <row r="146" spans="1:10" x14ac:dyDescent="0.25">
      <c r="A146" s="725"/>
      <c r="B146" s="726"/>
      <c r="C146" s="726"/>
      <c r="D146" s="727"/>
      <c r="E146" s="328">
        <v>9</v>
      </c>
      <c r="F146" s="329">
        <f t="shared" ref="F146:I146" si="17">F62*$J146</f>
        <v>0</v>
      </c>
      <c r="G146" s="329">
        <f t="shared" si="17"/>
        <v>0</v>
      </c>
      <c r="H146" s="329">
        <f t="shared" si="17"/>
        <v>0</v>
      </c>
      <c r="I146" s="329">
        <f t="shared" si="17"/>
        <v>0</v>
      </c>
      <c r="J146" s="334">
        <f t="shared" si="16"/>
        <v>1.6363636363636365E-2</v>
      </c>
    </row>
    <row r="147" spans="1:10" x14ac:dyDescent="0.25">
      <c r="A147" s="725"/>
      <c r="B147" s="726"/>
      <c r="C147" s="726"/>
      <c r="D147" s="727"/>
      <c r="E147" s="328">
        <v>10</v>
      </c>
      <c r="F147" s="329">
        <f t="shared" ref="F147:I147" si="18">F63*$J147</f>
        <v>0</v>
      </c>
      <c r="G147" s="329">
        <f t="shared" si="18"/>
        <v>0</v>
      </c>
      <c r="H147" s="329">
        <f t="shared" si="18"/>
        <v>0</v>
      </c>
      <c r="I147" s="329">
        <f t="shared" si="18"/>
        <v>0</v>
      </c>
      <c r="J147" s="334">
        <f t="shared" si="16"/>
        <v>0</v>
      </c>
    </row>
    <row r="148" spans="1:10" x14ac:dyDescent="0.25">
      <c r="A148" s="725"/>
      <c r="B148" s="726"/>
      <c r="C148" s="726"/>
      <c r="D148" s="727"/>
      <c r="E148" s="328">
        <v>11</v>
      </c>
      <c r="F148" s="329">
        <f t="shared" ref="F148:I148" si="19">F64*$J148</f>
        <v>0</v>
      </c>
      <c r="G148" s="329">
        <f t="shared" si="19"/>
        <v>0</v>
      </c>
      <c r="H148" s="329">
        <f t="shared" si="19"/>
        <v>0</v>
      </c>
      <c r="I148" s="329">
        <f t="shared" si="19"/>
        <v>0</v>
      </c>
      <c r="J148" s="334">
        <f t="shared" si="16"/>
        <v>0</v>
      </c>
    </row>
    <row r="149" spans="1:10" ht="15.75" thickBot="1" x14ac:dyDescent="0.3">
      <c r="A149" s="771"/>
      <c r="B149" s="772"/>
      <c r="C149" s="772"/>
      <c r="D149" s="773"/>
      <c r="E149" s="331">
        <v>12</v>
      </c>
      <c r="F149" s="332">
        <f t="shared" ref="F149:I149" si="20">F65*$J149</f>
        <v>0</v>
      </c>
      <c r="G149" s="332">
        <f t="shared" si="20"/>
        <v>0</v>
      </c>
      <c r="H149" s="332">
        <f t="shared" si="20"/>
        <v>0</v>
      </c>
      <c r="I149" s="332">
        <f t="shared" si="20"/>
        <v>0</v>
      </c>
      <c r="J149" s="335">
        <f t="shared" si="16"/>
        <v>0</v>
      </c>
    </row>
    <row r="150" spans="1:10" x14ac:dyDescent="0.25">
      <c r="A150" s="768" t="s">
        <v>14</v>
      </c>
      <c r="B150" s="769"/>
      <c r="C150" s="769"/>
      <c r="D150" s="770"/>
      <c r="E150" s="325">
        <v>0</v>
      </c>
      <c r="F150" s="326">
        <f t="shared" ref="F150:I158" si="21">F66*$J150</f>
        <v>0</v>
      </c>
      <c r="G150" s="326">
        <f t="shared" si="21"/>
        <v>0</v>
      </c>
      <c r="H150" s="326">
        <f t="shared" si="21"/>
        <v>0</v>
      </c>
      <c r="I150" s="326">
        <f t="shared" si="21"/>
        <v>0</v>
      </c>
      <c r="J150" s="327">
        <f t="shared" ref="J150:J162" si="22">E19</f>
        <v>0.16363636363636364</v>
      </c>
    </row>
    <row r="151" spans="1:10" x14ac:dyDescent="0.25">
      <c r="A151" s="725"/>
      <c r="B151" s="726"/>
      <c r="C151" s="726"/>
      <c r="D151" s="727"/>
      <c r="E151" s="328">
        <v>1</v>
      </c>
      <c r="F151" s="329">
        <f t="shared" si="21"/>
        <v>0</v>
      </c>
      <c r="G151" s="329">
        <f t="shared" si="21"/>
        <v>0</v>
      </c>
      <c r="H151" s="329">
        <f t="shared" si="21"/>
        <v>0</v>
      </c>
      <c r="I151" s="329">
        <f t="shared" si="21"/>
        <v>0</v>
      </c>
      <c r="J151" s="334">
        <f t="shared" si="22"/>
        <v>0.14727272727272728</v>
      </c>
    </row>
    <row r="152" spans="1:10" x14ac:dyDescent="0.25">
      <c r="A152" s="725"/>
      <c r="B152" s="726"/>
      <c r="C152" s="726"/>
      <c r="D152" s="727"/>
      <c r="E152" s="328">
        <v>2</v>
      </c>
      <c r="F152" s="329">
        <f t="shared" si="21"/>
        <v>0</v>
      </c>
      <c r="G152" s="329">
        <f t="shared" si="21"/>
        <v>0</v>
      </c>
      <c r="H152" s="329">
        <f t="shared" si="21"/>
        <v>0</v>
      </c>
      <c r="I152" s="329">
        <f t="shared" si="21"/>
        <v>0</v>
      </c>
      <c r="J152" s="334">
        <f t="shared" si="22"/>
        <v>0.13090909090909092</v>
      </c>
    </row>
    <row r="153" spans="1:10" x14ac:dyDescent="0.25">
      <c r="A153" s="725"/>
      <c r="B153" s="726"/>
      <c r="C153" s="726"/>
      <c r="D153" s="727"/>
      <c r="E153" s="328">
        <v>3</v>
      </c>
      <c r="F153" s="329">
        <f t="shared" si="21"/>
        <v>0</v>
      </c>
      <c r="G153" s="329">
        <f t="shared" si="21"/>
        <v>0</v>
      </c>
      <c r="H153" s="329">
        <f t="shared" si="21"/>
        <v>0</v>
      </c>
      <c r="I153" s="329">
        <f t="shared" si="21"/>
        <v>0</v>
      </c>
      <c r="J153" s="334">
        <f t="shared" si="22"/>
        <v>0.11454545454545455</v>
      </c>
    </row>
    <row r="154" spans="1:10" x14ac:dyDescent="0.25">
      <c r="A154" s="725"/>
      <c r="B154" s="726"/>
      <c r="C154" s="726"/>
      <c r="D154" s="727"/>
      <c r="E154" s="328">
        <v>4</v>
      </c>
      <c r="F154" s="329">
        <f t="shared" si="21"/>
        <v>0</v>
      </c>
      <c r="G154" s="329">
        <f t="shared" si="21"/>
        <v>0</v>
      </c>
      <c r="H154" s="329">
        <f t="shared" si="21"/>
        <v>0</v>
      </c>
      <c r="I154" s="329">
        <f t="shared" si="21"/>
        <v>0</v>
      </c>
      <c r="J154" s="334">
        <f t="shared" si="22"/>
        <v>9.818181818181819E-2</v>
      </c>
    </row>
    <row r="155" spans="1:10" x14ac:dyDescent="0.25">
      <c r="A155" s="725"/>
      <c r="B155" s="726"/>
      <c r="C155" s="726"/>
      <c r="D155" s="727"/>
      <c r="E155" s="328">
        <v>5</v>
      </c>
      <c r="F155" s="329">
        <f t="shared" si="21"/>
        <v>0</v>
      </c>
      <c r="G155" s="329">
        <f t="shared" si="21"/>
        <v>0</v>
      </c>
      <c r="H155" s="329">
        <f t="shared" si="21"/>
        <v>0.40909090909090906</v>
      </c>
      <c r="I155" s="329">
        <f t="shared" si="21"/>
        <v>0</v>
      </c>
      <c r="J155" s="334">
        <f t="shared" si="22"/>
        <v>8.1818181818181818E-2</v>
      </c>
    </row>
    <row r="156" spans="1:10" x14ac:dyDescent="0.25">
      <c r="A156" s="725"/>
      <c r="B156" s="726"/>
      <c r="C156" s="726"/>
      <c r="D156" s="727"/>
      <c r="E156" s="328">
        <v>6</v>
      </c>
      <c r="F156" s="329">
        <f t="shared" si="21"/>
        <v>0</v>
      </c>
      <c r="G156" s="329">
        <f t="shared" si="21"/>
        <v>0</v>
      </c>
      <c r="H156" s="329">
        <f t="shared" si="21"/>
        <v>0</v>
      </c>
      <c r="I156" s="329">
        <f t="shared" si="21"/>
        <v>0</v>
      </c>
      <c r="J156" s="334">
        <f t="shared" si="22"/>
        <v>6.545454545454546E-2</v>
      </c>
    </row>
    <row r="157" spans="1:10" x14ac:dyDescent="0.25">
      <c r="A157" s="725"/>
      <c r="B157" s="726"/>
      <c r="C157" s="726"/>
      <c r="D157" s="727"/>
      <c r="E157" s="328">
        <v>7</v>
      </c>
      <c r="F157" s="329">
        <f t="shared" si="21"/>
        <v>0</v>
      </c>
      <c r="G157" s="329">
        <f t="shared" si="21"/>
        <v>0</v>
      </c>
      <c r="H157" s="329">
        <f t="shared" si="21"/>
        <v>0</v>
      </c>
      <c r="I157" s="329">
        <f t="shared" si="21"/>
        <v>0</v>
      </c>
      <c r="J157" s="334">
        <f t="shared" si="22"/>
        <v>4.9090909090909095E-2</v>
      </c>
    </row>
    <row r="158" spans="1:10" x14ac:dyDescent="0.25">
      <c r="A158" s="725"/>
      <c r="B158" s="726"/>
      <c r="C158" s="726"/>
      <c r="D158" s="727"/>
      <c r="E158" s="328">
        <v>8</v>
      </c>
      <c r="F158" s="329">
        <f t="shared" si="21"/>
        <v>0</v>
      </c>
      <c r="G158" s="329">
        <f t="shared" si="21"/>
        <v>0</v>
      </c>
      <c r="H158" s="329">
        <f t="shared" si="21"/>
        <v>0</v>
      </c>
      <c r="I158" s="329">
        <f t="shared" si="21"/>
        <v>0</v>
      </c>
      <c r="J158" s="334">
        <f t="shared" si="22"/>
        <v>3.272727272727273E-2</v>
      </c>
    </row>
    <row r="159" spans="1:10" x14ac:dyDescent="0.25">
      <c r="A159" s="725"/>
      <c r="B159" s="726"/>
      <c r="C159" s="726"/>
      <c r="D159" s="727"/>
      <c r="E159" s="328">
        <v>9</v>
      </c>
      <c r="F159" s="329">
        <f t="shared" ref="F159:I159" si="23">F75*$J159</f>
        <v>0</v>
      </c>
      <c r="G159" s="329">
        <f t="shared" si="23"/>
        <v>0</v>
      </c>
      <c r="H159" s="329">
        <f t="shared" si="23"/>
        <v>0</v>
      </c>
      <c r="I159" s="329">
        <f t="shared" si="23"/>
        <v>0</v>
      </c>
      <c r="J159" s="334">
        <f t="shared" si="22"/>
        <v>1.6363636363636365E-2</v>
      </c>
    </row>
    <row r="160" spans="1:10" x14ac:dyDescent="0.25">
      <c r="A160" s="725"/>
      <c r="B160" s="726"/>
      <c r="C160" s="726"/>
      <c r="D160" s="727"/>
      <c r="E160" s="328">
        <v>10</v>
      </c>
      <c r="F160" s="329">
        <f>F76*$J160</f>
        <v>0</v>
      </c>
      <c r="G160" s="329">
        <f t="shared" ref="G160:I160" si="24">G76*$J160</f>
        <v>0</v>
      </c>
      <c r="H160" s="329">
        <f t="shared" si="24"/>
        <v>0</v>
      </c>
      <c r="I160" s="329">
        <f t="shared" si="24"/>
        <v>0</v>
      </c>
      <c r="J160" s="334">
        <f t="shared" si="22"/>
        <v>0</v>
      </c>
    </row>
    <row r="161" spans="1:10" x14ac:dyDescent="0.25">
      <c r="A161" s="725"/>
      <c r="B161" s="726"/>
      <c r="C161" s="726"/>
      <c r="D161" s="727"/>
      <c r="E161" s="328">
        <v>11</v>
      </c>
      <c r="F161" s="329">
        <f t="shared" ref="F161:I161" si="25">F77*$J161</f>
        <v>0</v>
      </c>
      <c r="G161" s="329">
        <f t="shared" si="25"/>
        <v>0</v>
      </c>
      <c r="H161" s="329">
        <f t="shared" si="25"/>
        <v>0</v>
      </c>
      <c r="I161" s="329">
        <f t="shared" si="25"/>
        <v>0</v>
      </c>
      <c r="J161" s="334">
        <f t="shared" si="22"/>
        <v>0</v>
      </c>
    </row>
    <row r="162" spans="1:10" ht="15.75" thickBot="1" x14ac:dyDescent="0.3">
      <c r="A162" s="771"/>
      <c r="B162" s="772"/>
      <c r="C162" s="772"/>
      <c r="D162" s="773"/>
      <c r="E162" s="331">
        <v>12</v>
      </c>
      <c r="F162" s="329">
        <f t="shared" ref="F162:I162" si="26">F78*$J162</f>
        <v>0</v>
      </c>
      <c r="G162" s="329">
        <f t="shared" si="26"/>
        <v>0</v>
      </c>
      <c r="H162" s="329">
        <f t="shared" si="26"/>
        <v>0</v>
      </c>
      <c r="I162" s="329">
        <f t="shared" si="26"/>
        <v>0</v>
      </c>
      <c r="J162" s="519">
        <f t="shared" si="22"/>
        <v>0</v>
      </c>
    </row>
    <row r="163" spans="1:10" x14ac:dyDescent="0.25">
      <c r="A163" s="768" t="s">
        <v>15</v>
      </c>
      <c r="B163" s="769"/>
      <c r="C163" s="769"/>
      <c r="D163" s="770"/>
      <c r="E163" s="325">
        <v>0</v>
      </c>
      <c r="F163" s="326">
        <f t="shared" ref="F163:I182" si="27">F79*$J163</f>
        <v>0</v>
      </c>
      <c r="G163" s="326">
        <f t="shared" si="27"/>
        <v>0</v>
      </c>
      <c r="H163" s="326">
        <f t="shared" si="27"/>
        <v>0</v>
      </c>
      <c r="I163" s="326">
        <f t="shared" si="27"/>
        <v>0</v>
      </c>
      <c r="J163" s="327">
        <f t="shared" ref="J163:J173" si="28">F19</f>
        <v>0.16363636363636364</v>
      </c>
    </row>
    <row r="164" spans="1:10" x14ac:dyDescent="0.25">
      <c r="A164" s="725"/>
      <c r="B164" s="726"/>
      <c r="C164" s="726"/>
      <c r="D164" s="727"/>
      <c r="E164" s="328">
        <v>1</v>
      </c>
      <c r="F164" s="329">
        <f t="shared" si="27"/>
        <v>0</v>
      </c>
      <c r="G164" s="329">
        <f t="shared" si="27"/>
        <v>0</v>
      </c>
      <c r="H164" s="329">
        <f t="shared" si="27"/>
        <v>0</v>
      </c>
      <c r="I164" s="329">
        <f t="shared" si="27"/>
        <v>0</v>
      </c>
      <c r="J164" s="334">
        <f t="shared" si="28"/>
        <v>0.14727272727272728</v>
      </c>
    </row>
    <row r="165" spans="1:10" x14ac:dyDescent="0.25">
      <c r="A165" s="725"/>
      <c r="B165" s="726"/>
      <c r="C165" s="726"/>
      <c r="D165" s="727"/>
      <c r="E165" s="328">
        <v>2</v>
      </c>
      <c r="F165" s="329">
        <f t="shared" si="27"/>
        <v>0</v>
      </c>
      <c r="G165" s="329">
        <f t="shared" si="27"/>
        <v>0</v>
      </c>
      <c r="H165" s="329">
        <f t="shared" si="27"/>
        <v>0</v>
      </c>
      <c r="I165" s="329">
        <f t="shared" si="27"/>
        <v>0</v>
      </c>
      <c r="J165" s="334">
        <f t="shared" si="28"/>
        <v>0.13090909090909092</v>
      </c>
    </row>
    <row r="166" spans="1:10" x14ac:dyDescent="0.25">
      <c r="A166" s="725"/>
      <c r="B166" s="726"/>
      <c r="C166" s="726"/>
      <c r="D166" s="727"/>
      <c r="E166" s="328">
        <v>3</v>
      </c>
      <c r="F166" s="329">
        <f t="shared" si="27"/>
        <v>0</v>
      </c>
      <c r="G166" s="329">
        <f t="shared" si="27"/>
        <v>0</v>
      </c>
      <c r="H166" s="329">
        <f t="shared" si="27"/>
        <v>0</v>
      </c>
      <c r="I166" s="329">
        <f t="shared" si="27"/>
        <v>0</v>
      </c>
      <c r="J166" s="334">
        <f t="shared" si="28"/>
        <v>0.11454545454545455</v>
      </c>
    </row>
    <row r="167" spans="1:10" x14ac:dyDescent="0.25">
      <c r="A167" s="725"/>
      <c r="B167" s="726"/>
      <c r="C167" s="726"/>
      <c r="D167" s="727"/>
      <c r="E167" s="328">
        <v>4</v>
      </c>
      <c r="F167" s="329">
        <f t="shared" si="27"/>
        <v>0</v>
      </c>
      <c r="G167" s="329">
        <f t="shared" si="27"/>
        <v>0</v>
      </c>
      <c r="H167" s="329">
        <f t="shared" si="27"/>
        <v>0</v>
      </c>
      <c r="I167" s="329">
        <f t="shared" si="27"/>
        <v>0</v>
      </c>
      <c r="J167" s="334">
        <f t="shared" si="28"/>
        <v>9.818181818181819E-2</v>
      </c>
    </row>
    <row r="168" spans="1:10" x14ac:dyDescent="0.25">
      <c r="A168" s="725"/>
      <c r="B168" s="726"/>
      <c r="C168" s="726"/>
      <c r="D168" s="727"/>
      <c r="E168" s="328">
        <v>5</v>
      </c>
      <c r="F168" s="329">
        <f t="shared" si="27"/>
        <v>0</v>
      </c>
      <c r="G168" s="329">
        <f t="shared" si="27"/>
        <v>0</v>
      </c>
      <c r="H168" s="329">
        <f t="shared" si="27"/>
        <v>0</v>
      </c>
      <c r="I168" s="329">
        <f t="shared" si="27"/>
        <v>0</v>
      </c>
      <c r="J168" s="334">
        <f t="shared" si="28"/>
        <v>8.1818181818181818E-2</v>
      </c>
    </row>
    <row r="169" spans="1:10" x14ac:dyDescent="0.25">
      <c r="A169" s="725"/>
      <c r="B169" s="726"/>
      <c r="C169" s="726"/>
      <c r="D169" s="727"/>
      <c r="E169" s="328">
        <v>6</v>
      </c>
      <c r="F169" s="329">
        <f t="shared" si="27"/>
        <v>0</v>
      </c>
      <c r="G169" s="329">
        <f t="shared" si="27"/>
        <v>0</v>
      </c>
      <c r="H169" s="329">
        <f t="shared" si="27"/>
        <v>0</v>
      </c>
      <c r="I169" s="329">
        <f t="shared" si="27"/>
        <v>0</v>
      </c>
      <c r="J169" s="334">
        <f t="shared" si="28"/>
        <v>6.545454545454546E-2</v>
      </c>
    </row>
    <row r="170" spans="1:10" x14ac:dyDescent="0.25">
      <c r="A170" s="725"/>
      <c r="B170" s="726"/>
      <c r="C170" s="726"/>
      <c r="D170" s="727"/>
      <c r="E170" s="328">
        <v>7</v>
      </c>
      <c r="F170" s="329">
        <f t="shared" si="27"/>
        <v>0</v>
      </c>
      <c r="G170" s="329">
        <f t="shared" si="27"/>
        <v>0</v>
      </c>
      <c r="H170" s="329">
        <f t="shared" si="27"/>
        <v>0</v>
      </c>
      <c r="I170" s="329">
        <f t="shared" si="27"/>
        <v>0</v>
      </c>
      <c r="J170" s="334">
        <f t="shared" si="28"/>
        <v>4.9090909090909095E-2</v>
      </c>
    </row>
    <row r="171" spans="1:10" x14ac:dyDescent="0.25">
      <c r="A171" s="725"/>
      <c r="B171" s="726"/>
      <c r="C171" s="726"/>
      <c r="D171" s="727"/>
      <c r="E171" s="328">
        <v>8</v>
      </c>
      <c r="F171" s="329">
        <f t="shared" si="27"/>
        <v>0</v>
      </c>
      <c r="G171" s="329">
        <f t="shared" si="27"/>
        <v>0</v>
      </c>
      <c r="H171" s="329">
        <f t="shared" si="27"/>
        <v>0</v>
      </c>
      <c r="I171" s="329">
        <f t="shared" si="27"/>
        <v>0</v>
      </c>
      <c r="J171" s="334">
        <f t="shared" si="28"/>
        <v>3.272727272727273E-2</v>
      </c>
    </row>
    <row r="172" spans="1:10" x14ac:dyDescent="0.25">
      <c r="A172" s="725"/>
      <c r="B172" s="726"/>
      <c r="C172" s="726"/>
      <c r="D172" s="727"/>
      <c r="E172" s="328">
        <v>9</v>
      </c>
      <c r="F172" s="329">
        <f t="shared" si="27"/>
        <v>0</v>
      </c>
      <c r="G172" s="329">
        <f t="shared" si="27"/>
        <v>0</v>
      </c>
      <c r="H172" s="329">
        <f t="shared" si="27"/>
        <v>0</v>
      </c>
      <c r="I172" s="329">
        <f t="shared" si="27"/>
        <v>0</v>
      </c>
      <c r="J172" s="334">
        <f t="shared" si="28"/>
        <v>1.6363636363636365E-2</v>
      </c>
    </row>
    <row r="173" spans="1:10" ht="15.75" thickBot="1" x14ac:dyDescent="0.3">
      <c r="A173" s="771"/>
      <c r="B173" s="772"/>
      <c r="C173" s="772"/>
      <c r="D173" s="773"/>
      <c r="E173" s="331">
        <v>10</v>
      </c>
      <c r="F173" s="332">
        <f t="shared" si="27"/>
        <v>0</v>
      </c>
      <c r="G173" s="332">
        <f t="shared" si="27"/>
        <v>0</v>
      </c>
      <c r="H173" s="332">
        <f t="shared" si="27"/>
        <v>0</v>
      </c>
      <c r="I173" s="332">
        <f t="shared" si="27"/>
        <v>0</v>
      </c>
      <c r="J173" s="335">
        <f t="shared" si="28"/>
        <v>0</v>
      </c>
    </row>
    <row r="174" spans="1:10" x14ac:dyDescent="0.25">
      <c r="A174" s="768" t="s">
        <v>16</v>
      </c>
      <c r="B174" s="769"/>
      <c r="C174" s="769"/>
      <c r="D174" s="770"/>
      <c r="E174" s="325">
        <v>0</v>
      </c>
      <c r="F174" s="326">
        <f t="shared" si="27"/>
        <v>0</v>
      </c>
      <c r="G174" s="326">
        <f t="shared" si="27"/>
        <v>0</v>
      </c>
      <c r="H174" s="326">
        <f t="shared" si="27"/>
        <v>0</v>
      </c>
      <c r="I174" s="326">
        <f t="shared" si="27"/>
        <v>0</v>
      </c>
      <c r="J174" s="327">
        <f t="shared" ref="J174:J186" si="29">G19</f>
        <v>0.17272727272727273</v>
      </c>
    </row>
    <row r="175" spans="1:10" x14ac:dyDescent="0.25">
      <c r="A175" s="725"/>
      <c r="B175" s="726"/>
      <c r="C175" s="726"/>
      <c r="D175" s="727"/>
      <c r="E175" s="328">
        <v>1</v>
      </c>
      <c r="F175" s="329">
        <f t="shared" si="27"/>
        <v>0</v>
      </c>
      <c r="G175" s="329">
        <f t="shared" si="27"/>
        <v>0</v>
      </c>
      <c r="H175" s="329">
        <f t="shared" si="27"/>
        <v>0</v>
      </c>
      <c r="I175" s="329">
        <f t="shared" si="27"/>
        <v>0</v>
      </c>
      <c r="J175" s="334">
        <f t="shared" si="29"/>
        <v>0.15545454545454543</v>
      </c>
    </row>
    <row r="176" spans="1:10" x14ac:dyDescent="0.25">
      <c r="A176" s="725"/>
      <c r="B176" s="726"/>
      <c r="C176" s="726"/>
      <c r="D176" s="727"/>
      <c r="E176" s="328">
        <v>2</v>
      </c>
      <c r="F176" s="329">
        <f t="shared" si="27"/>
        <v>0</v>
      </c>
      <c r="G176" s="329">
        <f t="shared" si="27"/>
        <v>0</v>
      </c>
      <c r="H176" s="329">
        <f t="shared" si="27"/>
        <v>0</v>
      </c>
      <c r="I176" s="329">
        <f t="shared" si="27"/>
        <v>0</v>
      </c>
      <c r="J176" s="334">
        <f t="shared" si="29"/>
        <v>0.13818181818181818</v>
      </c>
    </row>
    <row r="177" spans="1:10" x14ac:dyDescent="0.25">
      <c r="A177" s="725"/>
      <c r="B177" s="726"/>
      <c r="C177" s="726"/>
      <c r="D177" s="727"/>
      <c r="E177" s="328">
        <v>3</v>
      </c>
      <c r="F177" s="329">
        <f t="shared" si="27"/>
        <v>0</v>
      </c>
      <c r="G177" s="329">
        <f t="shared" si="27"/>
        <v>0</v>
      </c>
      <c r="H177" s="329">
        <f t="shared" si="27"/>
        <v>0</v>
      </c>
      <c r="I177" s="329">
        <f t="shared" si="27"/>
        <v>0</v>
      </c>
      <c r="J177" s="334">
        <f t="shared" si="29"/>
        <v>0.1209090909090909</v>
      </c>
    </row>
    <row r="178" spans="1:10" x14ac:dyDescent="0.25">
      <c r="A178" s="725"/>
      <c r="B178" s="726"/>
      <c r="C178" s="726"/>
      <c r="D178" s="727"/>
      <c r="E178" s="328">
        <v>4</v>
      </c>
      <c r="F178" s="329">
        <f t="shared" si="27"/>
        <v>0</v>
      </c>
      <c r="G178" s="329">
        <f t="shared" si="27"/>
        <v>0</v>
      </c>
      <c r="H178" s="329">
        <f t="shared" si="27"/>
        <v>0</v>
      </c>
      <c r="I178" s="329">
        <f t="shared" si="27"/>
        <v>0</v>
      </c>
      <c r="J178" s="334">
        <f t="shared" si="29"/>
        <v>0.10363636363636362</v>
      </c>
    </row>
    <row r="179" spans="1:10" x14ac:dyDescent="0.25">
      <c r="A179" s="725"/>
      <c r="B179" s="726"/>
      <c r="C179" s="726"/>
      <c r="D179" s="727"/>
      <c r="E179" s="328">
        <v>5</v>
      </c>
      <c r="F179" s="329">
        <f t="shared" si="27"/>
        <v>0</v>
      </c>
      <c r="G179" s="329">
        <f t="shared" si="27"/>
        <v>0</v>
      </c>
      <c r="H179" s="329">
        <f t="shared" si="27"/>
        <v>0</v>
      </c>
      <c r="I179" s="329">
        <f t="shared" si="27"/>
        <v>0</v>
      </c>
      <c r="J179" s="334">
        <f t="shared" si="29"/>
        <v>8.6363636363636365E-2</v>
      </c>
    </row>
    <row r="180" spans="1:10" x14ac:dyDescent="0.25">
      <c r="A180" s="725"/>
      <c r="B180" s="726"/>
      <c r="C180" s="726"/>
      <c r="D180" s="727"/>
      <c r="E180" s="328">
        <v>6</v>
      </c>
      <c r="F180" s="329">
        <f t="shared" si="27"/>
        <v>0</v>
      </c>
      <c r="G180" s="329">
        <f t="shared" si="27"/>
        <v>0</v>
      </c>
      <c r="H180" s="329">
        <f t="shared" si="27"/>
        <v>0</v>
      </c>
      <c r="I180" s="329">
        <f t="shared" si="27"/>
        <v>0</v>
      </c>
      <c r="J180" s="334">
        <f t="shared" si="29"/>
        <v>6.9090909090909092E-2</v>
      </c>
    </row>
    <row r="181" spans="1:10" x14ac:dyDescent="0.25">
      <c r="A181" s="725"/>
      <c r="B181" s="726"/>
      <c r="C181" s="726"/>
      <c r="D181" s="727"/>
      <c r="E181" s="328">
        <v>7</v>
      </c>
      <c r="F181" s="329">
        <f t="shared" si="27"/>
        <v>0</v>
      </c>
      <c r="G181" s="329">
        <f t="shared" si="27"/>
        <v>0</v>
      </c>
      <c r="H181" s="329">
        <f t="shared" si="27"/>
        <v>0</v>
      </c>
      <c r="I181" s="329">
        <f t="shared" si="27"/>
        <v>0</v>
      </c>
      <c r="J181" s="334">
        <f t="shared" si="29"/>
        <v>5.1818181818181812E-2</v>
      </c>
    </row>
    <row r="182" spans="1:10" x14ac:dyDescent="0.25">
      <c r="A182" s="725"/>
      <c r="B182" s="726"/>
      <c r="C182" s="726"/>
      <c r="D182" s="727"/>
      <c r="E182" s="328">
        <v>8</v>
      </c>
      <c r="F182" s="329">
        <f t="shared" si="27"/>
        <v>0</v>
      </c>
      <c r="G182" s="329">
        <f t="shared" si="27"/>
        <v>0</v>
      </c>
      <c r="H182" s="329">
        <f t="shared" si="27"/>
        <v>0</v>
      </c>
      <c r="I182" s="329">
        <f t="shared" si="27"/>
        <v>0</v>
      </c>
      <c r="J182" s="334">
        <f t="shared" si="29"/>
        <v>3.4545454545454546E-2</v>
      </c>
    </row>
    <row r="183" spans="1:10" x14ac:dyDescent="0.25">
      <c r="A183" s="725"/>
      <c r="B183" s="726"/>
      <c r="C183" s="726"/>
      <c r="D183" s="727"/>
      <c r="E183" s="328">
        <v>9</v>
      </c>
      <c r="F183" s="329">
        <f t="shared" ref="F183:I199" si="30">F99*$J183</f>
        <v>0</v>
      </c>
      <c r="G183" s="329">
        <f t="shared" si="30"/>
        <v>0</v>
      </c>
      <c r="H183" s="329">
        <f t="shared" si="30"/>
        <v>0</v>
      </c>
      <c r="I183" s="329">
        <f t="shared" si="30"/>
        <v>0</v>
      </c>
      <c r="J183" s="334">
        <f t="shared" si="29"/>
        <v>1.7272727272727273E-2</v>
      </c>
    </row>
    <row r="184" spans="1:10" x14ac:dyDescent="0.25">
      <c r="A184" s="725"/>
      <c r="B184" s="726"/>
      <c r="C184" s="726"/>
      <c r="D184" s="727"/>
      <c r="E184" s="328">
        <v>10</v>
      </c>
      <c r="F184" s="329">
        <f t="shared" si="30"/>
        <v>0</v>
      </c>
      <c r="G184" s="329">
        <f t="shared" si="30"/>
        <v>0</v>
      </c>
      <c r="H184" s="329">
        <f t="shared" si="30"/>
        <v>0</v>
      </c>
      <c r="I184" s="329">
        <f t="shared" si="30"/>
        <v>0</v>
      </c>
      <c r="J184" s="334">
        <f t="shared" si="29"/>
        <v>0</v>
      </c>
    </row>
    <row r="185" spans="1:10" x14ac:dyDescent="0.25">
      <c r="A185" s="725"/>
      <c r="B185" s="726"/>
      <c r="C185" s="726"/>
      <c r="D185" s="727"/>
      <c r="E185" s="328">
        <v>11</v>
      </c>
      <c r="F185" s="329">
        <f t="shared" si="30"/>
        <v>0</v>
      </c>
      <c r="G185" s="329">
        <f t="shared" si="30"/>
        <v>0</v>
      </c>
      <c r="H185" s="329">
        <f t="shared" si="30"/>
        <v>0</v>
      </c>
      <c r="I185" s="329">
        <f t="shared" si="30"/>
        <v>0</v>
      </c>
      <c r="J185" s="334">
        <f t="shared" si="29"/>
        <v>0</v>
      </c>
    </row>
    <row r="186" spans="1:10" ht="15.75" thickBot="1" x14ac:dyDescent="0.3">
      <c r="A186" s="771"/>
      <c r="B186" s="772"/>
      <c r="C186" s="772"/>
      <c r="D186" s="773"/>
      <c r="E186" s="331">
        <v>12</v>
      </c>
      <c r="F186" s="332">
        <f t="shared" si="30"/>
        <v>0</v>
      </c>
      <c r="G186" s="332">
        <f t="shared" si="30"/>
        <v>0</v>
      </c>
      <c r="H186" s="332">
        <f t="shared" si="30"/>
        <v>0</v>
      </c>
      <c r="I186" s="332">
        <f t="shared" si="30"/>
        <v>0</v>
      </c>
      <c r="J186" s="335">
        <f t="shared" si="29"/>
        <v>0</v>
      </c>
    </row>
    <row r="187" spans="1:10" x14ac:dyDescent="0.25">
      <c r="A187" s="774" t="s">
        <v>17</v>
      </c>
      <c r="B187" s="775"/>
      <c r="C187" s="775"/>
      <c r="D187" s="775"/>
      <c r="E187" s="325">
        <v>0</v>
      </c>
      <c r="F187" s="326">
        <f t="shared" si="30"/>
        <v>0</v>
      </c>
      <c r="G187" s="326">
        <f t="shared" si="30"/>
        <v>0</v>
      </c>
      <c r="H187" s="326">
        <f t="shared" si="30"/>
        <v>0</v>
      </c>
      <c r="I187" s="326">
        <f t="shared" si="30"/>
        <v>0</v>
      </c>
      <c r="J187" s="327">
        <f t="shared" ref="J187:J199" si="31">G19</f>
        <v>0.17272727272727273</v>
      </c>
    </row>
    <row r="188" spans="1:10" x14ac:dyDescent="0.25">
      <c r="A188" s="776"/>
      <c r="B188" s="731"/>
      <c r="C188" s="731"/>
      <c r="D188" s="731"/>
      <c r="E188" s="328">
        <v>1</v>
      </c>
      <c r="F188" s="329">
        <f t="shared" si="30"/>
        <v>0</v>
      </c>
      <c r="G188" s="329">
        <f t="shared" si="30"/>
        <v>0</v>
      </c>
      <c r="H188" s="329">
        <f t="shared" si="30"/>
        <v>0</v>
      </c>
      <c r="I188" s="329">
        <f t="shared" si="30"/>
        <v>0</v>
      </c>
      <c r="J188" s="334">
        <f t="shared" si="31"/>
        <v>0.15545454545454543</v>
      </c>
    </row>
    <row r="189" spans="1:10" x14ac:dyDescent="0.25">
      <c r="A189" s="776"/>
      <c r="B189" s="731"/>
      <c r="C189" s="731"/>
      <c r="D189" s="731"/>
      <c r="E189" s="328">
        <v>2</v>
      </c>
      <c r="F189" s="329">
        <f t="shared" si="30"/>
        <v>0</v>
      </c>
      <c r="G189" s="329">
        <f t="shared" si="30"/>
        <v>0</v>
      </c>
      <c r="H189" s="329">
        <f t="shared" si="30"/>
        <v>0</v>
      </c>
      <c r="I189" s="329">
        <f t="shared" si="30"/>
        <v>0</v>
      </c>
      <c r="J189" s="334">
        <f t="shared" si="31"/>
        <v>0.13818181818181818</v>
      </c>
    </row>
    <row r="190" spans="1:10" x14ac:dyDescent="0.25">
      <c r="A190" s="776"/>
      <c r="B190" s="731"/>
      <c r="C190" s="731"/>
      <c r="D190" s="731"/>
      <c r="E190" s="328">
        <v>3</v>
      </c>
      <c r="F190" s="329">
        <f t="shared" si="30"/>
        <v>0</v>
      </c>
      <c r="G190" s="329">
        <f t="shared" si="30"/>
        <v>0</v>
      </c>
      <c r="H190" s="329">
        <f t="shared" si="30"/>
        <v>0</v>
      </c>
      <c r="I190" s="329">
        <f t="shared" si="30"/>
        <v>0</v>
      </c>
      <c r="J190" s="334">
        <f t="shared" si="31"/>
        <v>0.1209090909090909</v>
      </c>
    </row>
    <row r="191" spans="1:10" x14ac:dyDescent="0.25">
      <c r="A191" s="776"/>
      <c r="B191" s="731"/>
      <c r="C191" s="731"/>
      <c r="D191" s="731"/>
      <c r="E191" s="328">
        <v>4</v>
      </c>
      <c r="F191" s="329">
        <f t="shared" si="30"/>
        <v>0</v>
      </c>
      <c r="G191" s="329">
        <f t="shared" si="30"/>
        <v>0</v>
      </c>
      <c r="H191" s="329">
        <f t="shared" si="30"/>
        <v>0</v>
      </c>
      <c r="I191" s="329">
        <f t="shared" si="30"/>
        <v>0</v>
      </c>
      <c r="J191" s="334">
        <f t="shared" si="31"/>
        <v>0.10363636363636362</v>
      </c>
    </row>
    <row r="192" spans="1:10" x14ac:dyDescent="0.25">
      <c r="A192" s="776"/>
      <c r="B192" s="731"/>
      <c r="C192" s="731"/>
      <c r="D192" s="731"/>
      <c r="E192" s="328">
        <v>5</v>
      </c>
      <c r="F192" s="329">
        <f t="shared" si="30"/>
        <v>0</v>
      </c>
      <c r="G192" s="329">
        <f t="shared" si="30"/>
        <v>0</v>
      </c>
      <c r="H192" s="329">
        <f t="shared" si="30"/>
        <v>0</v>
      </c>
      <c r="I192" s="329">
        <f t="shared" si="30"/>
        <v>0</v>
      </c>
      <c r="J192" s="334">
        <f t="shared" si="31"/>
        <v>8.6363636363636365E-2</v>
      </c>
    </row>
    <row r="193" spans="1:10" x14ac:dyDescent="0.25">
      <c r="A193" s="776"/>
      <c r="B193" s="731"/>
      <c r="C193" s="731"/>
      <c r="D193" s="731"/>
      <c r="E193" s="328">
        <v>6</v>
      </c>
      <c r="F193" s="329">
        <f t="shared" si="30"/>
        <v>0</v>
      </c>
      <c r="G193" s="329">
        <f t="shared" si="30"/>
        <v>0</v>
      </c>
      <c r="H193" s="329">
        <f t="shared" si="30"/>
        <v>0</v>
      </c>
      <c r="I193" s="329">
        <f t="shared" si="30"/>
        <v>0</v>
      </c>
      <c r="J193" s="334">
        <f t="shared" si="31"/>
        <v>6.9090909090909092E-2</v>
      </c>
    </row>
    <row r="194" spans="1:10" x14ac:dyDescent="0.25">
      <c r="A194" s="776"/>
      <c r="B194" s="731"/>
      <c r="C194" s="731"/>
      <c r="D194" s="731"/>
      <c r="E194" s="328">
        <v>7</v>
      </c>
      <c r="F194" s="329">
        <f t="shared" si="30"/>
        <v>0</v>
      </c>
      <c r="G194" s="329">
        <f t="shared" si="30"/>
        <v>0</v>
      </c>
      <c r="H194" s="329">
        <f t="shared" si="30"/>
        <v>0</v>
      </c>
      <c r="I194" s="329">
        <f t="shared" si="30"/>
        <v>0</v>
      </c>
      <c r="J194" s="334">
        <f t="shared" si="31"/>
        <v>5.1818181818181812E-2</v>
      </c>
    </row>
    <row r="195" spans="1:10" x14ac:dyDescent="0.25">
      <c r="A195" s="776"/>
      <c r="B195" s="731"/>
      <c r="C195" s="731"/>
      <c r="D195" s="731"/>
      <c r="E195" s="328">
        <v>8</v>
      </c>
      <c r="F195" s="329">
        <f t="shared" si="30"/>
        <v>0</v>
      </c>
      <c r="G195" s="329">
        <f t="shared" si="30"/>
        <v>0</v>
      </c>
      <c r="H195" s="329">
        <f t="shared" si="30"/>
        <v>0</v>
      </c>
      <c r="I195" s="329">
        <f t="shared" si="30"/>
        <v>0</v>
      </c>
      <c r="J195" s="334">
        <f t="shared" si="31"/>
        <v>3.4545454545454546E-2</v>
      </c>
    </row>
    <row r="196" spans="1:10" x14ac:dyDescent="0.25">
      <c r="A196" s="776"/>
      <c r="B196" s="731"/>
      <c r="C196" s="731"/>
      <c r="D196" s="731"/>
      <c r="E196" s="328">
        <v>9</v>
      </c>
      <c r="F196" s="329">
        <f t="shared" si="30"/>
        <v>0</v>
      </c>
      <c r="G196" s="329">
        <f t="shared" si="30"/>
        <v>0</v>
      </c>
      <c r="H196" s="329">
        <f t="shared" si="30"/>
        <v>0</v>
      </c>
      <c r="I196" s="329">
        <f t="shared" si="30"/>
        <v>0</v>
      </c>
      <c r="J196" s="334">
        <f t="shared" si="31"/>
        <v>1.7272727272727273E-2</v>
      </c>
    </row>
    <row r="197" spans="1:10" x14ac:dyDescent="0.25">
      <c r="A197" s="776"/>
      <c r="B197" s="731"/>
      <c r="C197" s="731"/>
      <c r="D197" s="731"/>
      <c r="E197" s="328">
        <v>10</v>
      </c>
      <c r="F197" s="329">
        <f t="shared" si="30"/>
        <v>0</v>
      </c>
      <c r="G197" s="329">
        <f t="shared" si="30"/>
        <v>0</v>
      </c>
      <c r="H197" s="329">
        <f t="shared" si="30"/>
        <v>0</v>
      </c>
      <c r="I197" s="329">
        <f t="shared" si="30"/>
        <v>0</v>
      </c>
      <c r="J197" s="334">
        <f t="shared" si="31"/>
        <v>0</v>
      </c>
    </row>
    <row r="198" spans="1:10" x14ac:dyDescent="0.25">
      <c r="A198" s="776"/>
      <c r="B198" s="731"/>
      <c r="C198" s="731"/>
      <c r="D198" s="731"/>
      <c r="E198" s="328">
        <v>11</v>
      </c>
      <c r="F198" s="329">
        <f t="shared" si="30"/>
        <v>0</v>
      </c>
      <c r="G198" s="329">
        <f t="shared" si="30"/>
        <v>0</v>
      </c>
      <c r="H198" s="329">
        <f t="shared" si="30"/>
        <v>0</v>
      </c>
      <c r="I198" s="329">
        <f t="shared" si="30"/>
        <v>0</v>
      </c>
      <c r="J198" s="334">
        <f t="shared" si="31"/>
        <v>0</v>
      </c>
    </row>
    <row r="199" spans="1:10" ht="15.75" thickBot="1" x14ac:dyDescent="0.3">
      <c r="A199" s="777"/>
      <c r="B199" s="778"/>
      <c r="C199" s="778"/>
      <c r="D199" s="778"/>
      <c r="E199" s="331">
        <v>12</v>
      </c>
      <c r="F199" s="332">
        <f t="shared" si="30"/>
        <v>0</v>
      </c>
      <c r="G199" s="332">
        <f t="shared" si="30"/>
        <v>0</v>
      </c>
      <c r="H199" s="332">
        <f t="shared" si="30"/>
        <v>0</v>
      </c>
      <c r="I199" s="332">
        <f t="shared" si="30"/>
        <v>0</v>
      </c>
      <c r="J199" s="335">
        <f t="shared" si="31"/>
        <v>0</v>
      </c>
    </row>
    <row r="201" spans="1:10" ht="15.75" thickBot="1" x14ac:dyDescent="0.3">
      <c r="A201" s="78" t="s">
        <v>715</v>
      </c>
      <c r="B201" s="78" t="s">
        <v>134</v>
      </c>
    </row>
    <row r="202" spans="1:10" x14ac:dyDescent="0.25">
      <c r="A202" s="780" t="s">
        <v>8</v>
      </c>
      <c r="B202" s="781"/>
      <c r="C202" s="781"/>
      <c r="D202" s="781"/>
      <c r="E202" s="732" t="s">
        <v>120</v>
      </c>
      <c r="F202" s="718" t="s">
        <v>6</v>
      </c>
      <c r="G202" s="719"/>
      <c r="H202" s="718" t="s">
        <v>7</v>
      </c>
      <c r="I202" s="779"/>
      <c r="J202" s="758"/>
    </row>
    <row r="203" spans="1:10" x14ac:dyDescent="0.25">
      <c r="A203" s="782"/>
      <c r="B203" s="597"/>
      <c r="C203" s="597"/>
      <c r="D203" s="597"/>
      <c r="E203" s="733"/>
      <c r="F203" s="129" t="s">
        <v>9</v>
      </c>
      <c r="G203" s="129" t="s">
        <v>10</v>
      </c>
      <c r="H203" s="129" t="s">
        <v>9</v>
      </c>
      <c r="I203" s="336" t="s">
        <v>10</v>
      </c>
      <c r="J203" s="758"/>
    </row>
    <row r="204" spans="1:10" x14ac:dyDescent="0.25">
      <c r="A204" s="722" t="s">
        <v>129</v>
      </c>
      <c r="B204" s="723"/>
      <c r="C204" s="723"/>
      <c r="D204" s="724"/>
      <c r="E204" s="337">
        <v>0</v>
      </c>
      <c r="F204" s="338">
        <f>IFERROR(F120*'2.1.b Veículos'!D$48,"")</f>
        <v>0</v>
      </c>
      <c r="G204" s="338" t="str">
        <f>IFERROR(G120*'2.1.b Veículos'!E$48,"")</f>
        <v/>
      </c>
      <c r="H204" s="338">
        <f>IFERROR(H120*'2.1.b Veículos'!F$48,"")</f>
        <v>0</v>
      </c>
      <c r="I204" s="338" t="str">
        <f>IFERROR(I120*'2.1.b Veículos'!G$48,"")</f>
        <v/>
      </c>
      <c r="J204" s="339"/>
    </row>
    <row r="205" spans="1:10" x14ac:dyDescent="0.25">
      <c r="A205" s="725"/>
      <c r="B205" s="726"/>
      <c r="C205" s="726"/>
      <c r="D205" s="727"/>
      <c r="E205" s="328">
        <v>1</v>
      </c>
      <c r="F205" s="338">
        <f>IFERROR(F121*'2.1.b Veículos'!D$48,"")</f>
        <v>0</v>
      </c>
      <c r="G205" s="338" t="str">
        <f>IFERROR(G121*'2.1.b Veículos'!E$48,"")</f>
        <v/>
      </c>
      <c r="H205" s="338">
        <f>IFERROR(H121*'2.1.b Veículos'!F$48,"")</f>
        <v>0</v>
      </c>
      <c r="I205" s="338" t="str">
        <f>IFERROR(I121*'2.1.b Veículos'!G$48,"")</f>
        <v/>
      </c>
      <c r="J205" s="339"/>
    </row>
    <row r="206" spans="1:10" x14ac:dyDescent="0.25">
      <c r="A206" s="725"/>
      <c r="B206" s="726"/>
      <c r="C206" s="726"/>
      <c r="D206" s="727"/>
      <c r="E206" s="328">
        <v>2</v>
      </c>
      <c r="F206" s="338">
        <f>IFERROR(F122*'2.1.b Veículos'!D$48,"")</f>
        <v>0</v>
      </c>
      <c r="G206" s="338" t="str">
        <f>IFERROR(G122*'2.1.b Veículos'!E$48,"")</f>
        <v/>
      </c>
      <c r="H206" s="338">
        <f>IFERROR(H122*'2.1.b Veículos'!F$48,"")</f>
        <v>0</v>
      </c>
      <c r="I206" s="338" t="str">
        <f>IFERROR(I122*'2.1.b Veículos'!G$48,"")</f>
        <v/>
      </c>
      <c r="J206" s="339"/>
    </row>
    <row r="207" spans="1:10" x14ac:dyDescent="0.25">
      <c r="A207" s="725"/>
      <c r="B207" s="726"/>
      <c r="C207" s="726"/>
      <c r="D207" s="727"/>
      <c r="E207" s="328">
        <v>3</v>
      </c>
      <c r="F207" s="338">
        <f>IFERROR(F123*'2.1.b Veículos'!D$48,"")</f>
        <v>0</v>
      </c>
      <c r="G207" s="338" t="str">
        <f>IFERROR(G123*'2.1.b Veículos'!E$48,"")</f>
        <v/>
      </c>
      <c r="H207" s="338">
        <f>IFERROR(H123*'2.1.b Veículos'!F$48,"")</f>
        <v>0</v>
      </c>
      <c r="I207" s="338" t="str">
        <f>IFERROR(I123*'2.1.b Veículos'!G$48,"")</f>
        <v/>
      </c>
      <c r="J207" s="339"/>
    </row>
    <row r="208" spans="1:10" x14ac:dyDescent="0.25">
      <c r="A208" s="725"/>
      <c r="B208" s="726"/>
      <c r="C208" s="726"/>
      <c r="D208" s="727"/>
      <c r="E208" s="328">
        <v>4</v>
      </c>
      <c r="F208" s="338">
        <f>IFERROR(F124*'2.1.b Veículos'!D$48,"")</f>
        <v>0</v>
      </c>
      <c r="G208" s="338" t="str">
        <f>IFERROR(G124*'2.1.b Veículos'!E$48,"")</f>
        <v/>
      </c>
      <c r="H208" s="338">
        <f>IFERROR(H124*'2.1.b Veículos'!F$48,"")</f>
        <v>0</v>
      </c>
      <c r="I208" s="338" t="str">
        <f>IFERROR(I124*'2.1.b Veículos'!G$48,"")</f>
        <v/>
      </c>
      <c r="J208" s="339"/>
    </row>
    <row r="209" spans="1:10" x14ac:dyDescent="0.25">
      <c r="A209" s="725"/>
      <c r="B209" s="726"/>
      <c r="C209" s="726"/>
      <c r="D209" s="727"/>
      <c r="E209" s="328">
        <v>5</v>
      </c>
      <c r="F209" s="338">
        <f>IFERROR(F125*'2.1.b Veículos'!D$48,"")</f>
        <v>411164.15399999998</v>
      </c>
      <c r="G209" s="338" t="str">
        <f>IFERROR(G125*'2.1.b Veículos'!E$48,"")</f>
        <v/>
      </c>
      <c r="H209" s="338">
        <f>IFERROR(H125*'2.1.b Veículos'!F$48,"")</f>
        <v>0</v>
      </c>
      <c r="I209" s="338" t="str">
        <f>IFERROR(I125*'2.1.b Veículos'!G$48,"")</f>
        <v/>
      </c>
      <c r="J209" s="339"/>
    </row>
    <row r="210" spans="1:10" x14ac:dyDescent="0.25">
      <c r="A210" s="725"/>
      <c r="B210" s="726"/>
      <c r="C210" s="726"/>
      <c r="D210" s="727"/>
      <c r="E210" s="328">
        <v>6</v>
      </c>
      <c r="F210" s="338">
        <f>IFERROR(F126*'2.1.b Veículos'!D$48,"")</f>
        <v>0</v>
      </c>
      <c r="G210" s="338"/>
      <c r="H210" s="338"/>
      <c r="I210" s="338"/>
      <c r="J210" s="339"/>
    </row>
    <row r="211" spans="1:10" x14ac:dyDescent="0.25">
      <c r="A211" s="725"/>
      <c r="B211" s="726"/>
      <c r="C211" s="726"/>
      <c r="D211" s="727"/>
      <c r="E211" s="328">
        <v>7</v>
      </c>
      <c r="F211" s="338">
        <f>IFERROR(F127*'2.1.b Veículos'!D$48,"")</f>
        <v>0</v>
      </c>
      <c r="G211" s="338"/>
      <c r="H211" s="338"/>
      <c r="I211" s="338"/>
      <c r="J211" s="339"/>
    </row>
    <row r="212" spans="1:10" x14ac:dyDescent="0.25">
      <c r="A212" s="725"/>
      <c r="B212" s="726"/>
      <c r="C212" s="726"/>
      <c r="D212" s="727"/>
      <c r="E212" s="328">
        <v>8</v>
      </c>
      <c r="F212" s="338">
        <f>IFERROR(F128*'2.1.b Veículos'!D$48,"")</f>
        <v>0</v>
      </c>
      <c r="G212" s="338"/>
      <c r="H212" s="338"/>
      <c r="I212" s="338"/>
      <c r="J212" s="339"/>
    </row>
    <row r="213" spans="1:10" x14ac:dyDescent="0.25">
      <c r="A213" s="725"/>
      <c r="B213" s="726"/>
      <c r="C213" s="726"/>
      <c r="D213" s="727"/>
      <c r="E213" s="328">
        <v>9</v>
      </c>
      <c r="F213" s="338">
        <f>IFERROR(F129*'2.1.b Veículos'!D$48,"")</f>
        <v>0</v>
      </c>
      <c r="G213" s="338"/>
      <c r="H213" s="338"/>
      <c r="I213" s="338"/>
      <c r="J213" s="339"/>
    </row>
    <row r="214" spans="1:10" x14ac:dyDescent="0.25">
      <c r="A214" s="728"/>
      <c r="B214" s="729"/>
      <c r="C214" s="729"/>
      <c r="D214" s="730"/>
      <c r="E214" s="328">
        <v>10</v>
      </c>
      <c r="F214" s="338">
        <f>IFERROR(F130*'2.1.b Veículos'!D$48,"")</f>
        <v>0</v>
      </c>
      <c r="G214" s="338"/>
      <c r="H214" s="338"/>
      <c r="I214" s="338"/>
      <c r="J214" s="339"/>
    </row>
    <row r="215" spans="1:10" x14ac:dyDescent="0.25">
      <c r="A215" s="722" t="s">
        <v>12</v>
      </c>
      <c r="B215" s="723"/>
      <c r="C215" s="723"/>
      <c r="D215" s="724"/>
      <c r="E215" s="328">
        <v>0</v>
      </c>
      <c r="F215" s="338" t="str">
        <f>IFERROR(F131*'2.1.b Veículos'!D$49,"")</f>
        <v/>
      </c>
      <c r="G215" s="338" t="str">
        <f>IFERROR(G131*'2.1.b Veículos'!E$49,"")</f>
        <v/>
      </c>
      <c r="H215" s="338" t="str">
        <f>IFERROR(H131*'2.1.b Veículos'!F$49,"")</f>
        <v/>
      </c>
      <c r="I215" s="338" t="str">
        <f>IFERROR(I131*'2.1.b Veículos'!G$49,"")</f>
        <v/>
      </c>
      <c r="J215" s="339"/>
    </row>
    <row r="216" spans="1:10" x14ac:dyDescent="0.25">
      <c r="A216" s="725"/>
      <c r="B216" s="726"/>
      <c r="C216" s="726"/>
      <c r="D216" s="727"/>
      <c r="E216" s="328">
        <v>1</v>
      </c>
      <c r="F216" s="338" t="str">
        <f>IFERROR(F132*'2.1.b Veículos'!D$49,"")</f>
        <v/>
      </c>
      <c r="G216" s="338" t="str">
        <f>IFERROR(G132*'2.1.b Veículos'!E$49,"")</f>
        <v/>
      </c>
      <c r="H216" s="338" t="str">
        <f>IFERROR(H132*'2.1.b Veículos'!F$49,"")</f>
        <v/>
      </c>
      <c r="I216" s="338" t="str">
        <f>IFERROR(I132*'2.1.b Veículos'!G$49,"")</f>
        <v/>
      </c>
      <c r="J216" s="339"/>
    </row>
    <row r="217" spans="1:10" x14ac:dyDescent="0.25">
      <c r="A217" s="725"/>
      <c r="B217" s="726"/>
      <c r="C217" s="726"/>
      <c r="D217" s="727"/>
      <c r="E217" s="328">
        <v>2</v>
      </c>
      <c r="F217" s="338" t="str">
        <f>IFERROR(F133*'2.1.b Veículos'!D$49,"")</f>
        <v/>
      </c>
      <c r="G217" s="338" t="str">
        <f>IFERROR(G133*'2.1.b Veículos'!E$49,"")</f>
        <v/>
      </c>
      <c r="H217" s="338" t="str">
        <f>IFERROR(H133*'2.1.b Veículos'!F$49,"")</f>
        <v/>
      </c>
      <c r="I217" s="338" t="str">
        <f>IFERROR(I133*'2.1.b Veículos'!G$49,"")</f>
        <v/>
      </c>
      <c r="J217" s="339"/>
    </row>
    <row r="218" spans="1:10" x14ac:dyDescent="0.25">
      <c r="A218" s="725"/>
      <c r="B218" s="726"/>
      <c r="C218" s="726"/>
      <c r="D218" s="727"/>
      <c r="E218" s="328">
        <v>3</v>
      </c>
      <c r="F218" s="338" t="str">
        <f>IFERROR(F134*'2.1.b Veículos'!D$49,"")</f>
        <v/>
      </c>
      <c r="G218" s="338" t="str">
        <f>IFERROR(G134*'2.1.b Veículos'!E$49,"")</f>
        <v/>
      </c>
      <c r="H218" s="338" t="str">
        <f>IFERROR(H134*'2.1.b Veículos'!F$49,"")</f>
        <v/>
      </c>
      <c r="I218" s="338" t="str">
        <f>IFERROR(I134*'2.1.b Veículos'!G$49,"")</f>
        <v/>
      </c>
      <c r="J218" s="339"/>
    </row>
    <row r="219" spans="1:10" x14ac:dyDescent="0.25">
      <c r="A219" s="725"/>
      <c r="B219" s="726"/>
      <c r="C219" s="726"/>
      <c r="D219" s="727"/>
      <c r="E219" s="328">
        <v>4</v>
      </c>
      <c r="F219" s="338" t="str">
        <f>IFERROR(F135*'2.1.b Veículos'!D$49,"")</f>
        <v/>
      </c>
      <c r="G219" s="338" t="str">
        <f>IFERROR(G135*'2.1.b Veículos'!E$49,"")</f>
        <v/>
      </c>
      <c r="H219" s="338" t="str">
        <f>IFERROR(H135*'2.1.b Veículos'!F$49,"")</f>
        <v/>
      </c>
      <c r="I219" s="338" t="str">
        <f>IFERROR(I135*'2.1.b Veículos'!G$49,"")</f>
        <v/>
      </c>
      <c r="J219" s="339"/>
    </row>
    <row r="220" spans="1:10" x14ac:dyDescent="0.25">
      <c r="A220" s="728"/>
      <c r="B220" s="729"/>
      <c r="C220" s="729"/>
      <c r="D220" s="730"/>
      <c r="E220" s="328">
        <v>5</v>
      </c>
      <c r="F220" s="338" t="str">
        <f>IFERROR(F136*'2.1.b Veículos'!D$49,"")</f>
        <v/>
      </c>
      <c r="G220" s="338" t="str">
        <f>IFERROR(G136*'2.1.b Veículos'!E$49,"")</f>
        <v/>
      </c>
      <c r="H220" s="338" t="str">
        <f>IFERROR(H136*'2.1.b Veículos'!F$49,"")</f>
        <v/>
      </c>
      <c r="I220" s="338" t="str">
        <f>IFERROR(I136*'2.1.b Veículos'!G$49,"")</f>
        <v/>
      </c>
      <c r="J220" s="339"/>
    </row>
    <row r="221" spans="1:10" x14ac:dyDescent="0.25">
      <c r="A221" s="722" t="s">
        <v>13</v>
      </c>
      <c r="B221" s="723"/>
      <c r="C221" s="723"/>
      <c r="D221" s="724"/>
      <c r="E221" s="328">
        <v>0</v>
      </c>
      <c r="F221" s="338">
        <f>IFERROR(F137*'2.1.b Veículos'!D$50,"")</f>
        <v>0</v>
      </c>
      <c r="G221" s="338" t="str">
        <f>IFERROR(G137*'2.1.b Veículos'!E$50,"")</f>
        <v/>
      </c>
      <c r="H221" s="338">
        <f>IFERROR(H137*'2.1.b Veículos'!F$50,"")</f>
        <v>0</v>
      </c>
      <c r="I221" s="338" t="str">
        <f>IFERROR(I137*'2.1.b Veículos'!G$50,"")</f>
        <v/>
      </c>
      <c r="J221" s="339"/>
    </row>
    <row r="222" spans="1:10" x14ac:dyDescent="0.25">
      <c r="A222" s="725"/>
      <c r="B222" s="726"/>
      <c r="C222" s="726"/>
      <c r="D222" s="727"/>
      <c r="E222" s="328">
        <v>1</v>
      </c>
      <c r="F222" s="338">
        <f>IFERROR(F138*'2.1.b Veículos'!D$50,"")</f>
        <v>0</v>
      </c>
      <c r="G222" s="338" t="str">
        <f>IFERROR(G138*'2.1.b Veículos'!E$50,"")</f>
        <v/>
      </c>
      <c r="H222" s="338">
        <f>IFERROR(H138*'2.1.b Veículos'!F$50,"")</f>
        <v>0</v>
      </c>
      <c r="I222" s="338" t="str">
        <f>IFERROR(I138*'2.1.b Veículos'!G$50,"")</f>
        <v/>
      </c>
      <c r="J222" s="339"/>
    </row>
    <row r="223" spans="1:10" x14ac:dyDescent="0.25">
      <c r="A223" s="725"/>
      <c r="B223" s="726"/>
      <c r="C223" s="726"/>
      <c r="D223" s="727"/>
      <c r="E223" s="328">
        <v>2</v>
      </c>
      <c r="F223" s="338">
        <f>IFERROR(F139*'2.1.b Veículos'!D$50,"")</f>
        <v>0</v>
      </c>
      <c r="G223" s="338" t="str">
        <f>IFERROR(G139*'2.1.b Veículos'!E$50,"")</f>
        <v/>
      </c>
      <c r="H223" s="338">
        <f>IFERROR(H139*'2.1.b Veículos'!F$50,"")</f>
        <v>0</v>
      </c>
      <c r="I223" s="338" t="str">
        <f>IFERROR(I139*'2.1.b Veículos'!G$50,"")</f>
        <v/>
      </c>
      <c r="J223" s="339"/>
    </row>
    <row r="224" spans="1:10" x14ac:dyDescent="0.25">
      <c r="A224" s="725"/>
      <c r="B224" s="726"/>
      <c r="C224" s="726"/>
      <c r="D224" s="727"/>
      <c r="E224" s="328">
        <v>3</v>
      </c>
      <c r="F224" s="338">
        <f>IFERROR(F140*'2.1.b Veículos'!D$50,"")</f>
        <v>0</v>
      </c>
      <c r="G224" s="338" t="str">
        <f>IFERROR(G140*'2.1.b Veículos'!E$50,"")</f>
        <v/>
      </c>
      <c r="H224" s="338">
        <f>IFERROR(H140*'2.1.b Veículos'!F$50,"")</f>
        <v>0</v>
      </c>
      <c r="I224" s="338" t="str">
        <f>IFERROR(I140*'2.1.b Veículos'!G$50,"")</f>
        <v/>
      </c>
      <c r="J224" s="339"/>
    </row>
    <row r="225" spans="1:10" x14ac:dyDescent="0.25">
      <c r="A225" s="725"/>
      <c r="B225" s="726"/>
      <c r="C225" s="726"/>
      <c r="D225" s="727"/>
      <c r="E225" s="328">
        <v>4</v>
      </c>
      <c r="F225" s="338">
        <f>IFERROR(F141*'2.1.b Veículos'!D$50,"")</f>
        <v>0</v>
      </c>
      <c r="G225" s="338" t="str">
        <f>IFERROR(G141*'2.1.b Veículos'!E$50,"")</f>
        <v/>
      </c>
      <c r="H225" s="338">
        <f>IFERROR(H141*'2.1.b Veículos'!F$50,"")</f>
        <v>0</v>
      </c>
      <c r="I225" s="338" t="str">
        <f>IFERROR(I141*'2.1.b Veículos'!G$50,"")</f>
        <v/>
      </c>
      <c r="J225" s="339"/>
    </row>
    <row r="226" spans="1:10" x14ac:dyDescent="0.25">
      <c r="A226" s="725"/>
      <c r="B226" s="726"/>
      <c r="C226" s="726"/>
      <c r="D226" s="727"/>
      <c r="E226" s="328">
        <v>5</v>
      </c>
      <c r="F226" s="338">
        <f>IFERROR(F142*'2.1.b Veículos'!D$50,"")</f>
        <v>657970.83654545469</v>
      </c>
      <c r="G226" s="338" t="str">
        <f>IFERROR(G142*'2.1.b Veículos'!E$50,"")</f>
        <v/>
      </c>
      <c r="H226" s="338">
        <f>IFERROR(H142*'2.1.b Veículos'!F$50,"")</f>
        <v>719661.74563636375</v>
      </c>
      <c r="I226" s="338" t="str">
        <f>IFERROR(I142*'2.1.b Veículos'!G$50,"")</f>
        <v/>
      </c>
      <c r="J226" s="339"/>
    </row>
    <row r="227" spans="1:10" x14ac:dyDescent="0.25">
      <c r="A227" s="725"/>
      <c r="B227" s="726"/>
      <c r="C227" s="726"/>
      <c r="D227" s="727"/>
      <c r="E227" s="328">
        <v>6</v>
      </c>
      <c r="F227" s="338">
        <f>IFERROR(F143*'2.1.b Veículos'!D$50,"")</f>
        <v>0</v>
      </c>
      <c r="G227" s="338" t="str">
        <f>IFERROR(G143*'2.1.b Veículos'!E$50,"")</f>
        <v/>
      </c>
      <c r="H227" s="338">
        <f>IFERROR(H143*'2.1.b Veículos'!F$50,"")</f>
        <v>0</v>
      </c>
      <c r="I227" s="338" t="str">
        <f>IFERROR(I143*'2.1.b Veículos'!G$50,"")</f>
        <v/>
      </c>
      <c r="J227" s="339"/>
    </row>
    <row r="228" spans="1:10" x14ac:dyDescent="0.25">
      <c r="A228" s="725"/>
      <c r="B228" s="726"/>
      <c r="C228" s="726"/>
      <c r="D228" s="727"/>
      <c r="E228" s="328">
        <v>7</v>
      </c>
      <c r="F228" s="338">
        <f>IFERROR(F144*'2.1.b Veículos'!D$50,"")</f>
        <v>0</v>
      </c>
      <c r="G228" s="338" t="str">
        <f>IFERROR(G144*'2.1.b Veículos'!E$50,"")</f>
        <v/>
      </c>
      <c r="H228" s="338">
        <f>IFERROR(H144*'2.1.b Veículos'!F$50,"")</f>
        <v>0</v>
      </c>
      <c r="I228" s="338" t="str">
        <f>IFERROR(I144*'2.1.b Veículos'!G$50,"")</f>
        <v/>
      </c>
      <c r="J228" s="339"/>
    </row>
    <row r="229" spans="1:10" x14ac:dyDescent="0.25">
      <c r="A229" s="725"/>
      <c r="B229" s="726"/>
      <c r="C229" s="726"/>
      <c r="D229" s="727"/>
      <c r="E229" s="328">
        <v>8</v>
      </c>
      <c r="F229" s="338">
        <f>IFERROR(F145*'2.1.b Veículos'!D$50,"")</f>
        <v>0</v>
      </c>
      <c r="G229" s="338" t="str">
        <f>IFERROR(G145*'2.1.b Veículos'!E$50,"")</f>
        <v/>
      </c>
      <c r="H229" s="338">
        <f>IFERROR(H145*'2.1.b Veículos'!F$50,"")</f>
        <v>0</v>
      </c>
      <c r="I229" s="338" t="str">
        <f>IFERROR(I145*'2.1.b Veículos'!G$50,"")</f>
        <v/>
      </c>
      <c r="J229" s="339"/>
    </row>
    <row r="230" spans="1:10" x14ac:dyDescent="0.25">
      <c r="A230" s="725"/>
      <c r="B230" s="726"/>
      <c r="C230" s="726"/>
      <c r="D230" s="727"/>
      <c r="E230" s="328">
        <v>9</v>
      </c>
      <c r="F230" s="338">
        <f>IFERROR(F146*'2.1.b Veículos'!D$50,"")</f>
        <v>0</v>
      </c>
      <c r="G230" s="338"/>
      <c r="H230" s="338"/>
      <c r="I230" s="338"/>
      <c r="J230" s="339"/>
    </row>
    <row r="231" spans="1:10" x14ac:dyDescent="0.25">
      <c r="A231" s="725"/>
      <c r="B231" s="726"/>
      <c r="C231" s="726"/>
      <c r="D231" s="727"/>
      <c r="E231" s="328">
        <v>10</v>
      </c>
      <c r="F231" s="338">
        <f>IFERROR(F147*'2.1.b Veículos'!D$50,"")</f>
        <v>0</v>
      </c>
      <c r="G231" s="338"/>
      <c r="H231" s="338"/>
      <c r="I231" s="338"/>
      <c r="J231" s="339"/>
    </row>
    <row r="232" spans="1:10" x14ac:dyDescent="0.25">
      <c r="A232" s="725"/>
      <c r="B232" s="726"/>
      <c r="C232" s="726"/>
      <c r="D232" s="727"/>
      <c r="E232" s="328">
        <v>11</v>
      </c>
      <c r="F232" s="338">
        <f>IFERROR(F148*'2.1.b Veículos'!D$50,"")</f>
        <v>0</v>
      </c>
      <c r="G232" s="338"/>
      <c r="H232" s="338"/>
      <c r="I232" s="338"/>
      <c r="J232" s="339"/>
    </row>
    <row r="233" spans="1:10" x14ac:dyDescent="0.25">
      <c r="A233" s="728"/>
      <c r="B233" s="729"/>
      <c r="C233" s="729"/>
      <c r="D233" s="730"/>
      <c r="E233" s="328">
        <v>12</v>
      </c>
      <c r="F233" s="338">
        <f>IFERROR(F149*'2.1.b Veículos'!D$50,"")</f>
        <v>0</v>
      </c>
      <c r="G233" s="338"/>
      <c r="H233" s="338"/>
      <c r="I233" s="338"/>
      <c r="J233" s="339"/>
    </row>
    <row r="234" spans="1:10" x14ac:dyDescent="0.25">
      <c r="A234" s="722" t="s">
        <v>14</v>
      </c>
      <c r="B234" s="723"/>
      <c r="C234" s="723"/>
      <c r="D234" s="724"/>
      <c r="E234" s="328">
        <v>0</v>
      </c>
      <c r="F234" s="338">
        <f>IFERROR(F150*'2.1.b Veículos'!D$51,"")</f>
        <v>0</v>
      </c>
      <c r="G234" s="338" t="str">
        <f>IFERROR(G150*'2.1.b Veículos'!E$51,"")</f>
        <v/>
      </c>
      <c r="H234" s="338">
        <f>IFERROR(H150*'2.1.b Veículos'!F$51,"")</f>
        <v>0</v>
      </c>
      <c r="I234" s="338" t="str">
        <f>IFERROR(I150*'2.1.b Veículos'!G$51,"")</f>
        <v/>
      </c>
      <c r="J234" s="339"/>
    </row>
    <row r="235" spans="1:10" x14ac:dyDescent="0.25">
      <c r="A235" s="725"/>
      <c r="B235" s="726"/>
      <c r="C235" s="726"/>
      <c r="D235" s="727"/>
      <c r="E235" s="328">
        <v>1</v>
      </c>
      <c r="F235" s="338">
        <f>IFERROR(F151*'2.1.b Veículos'!D$51,"")</f>
        <v>0</v>
      </c>
      <c r="G235" s="338" t="str">
        <f>IFERROR(G151*'2.1.b Veículos'!E$51,"")</f>
        <v/>
      </c>
      <c r="H235" s="338">
        <f>IFERROR(H151*'2.1.b Veículos'!F$51,"")</f>
        <v>0</v>
      </c>
      <c r="I235" s="338" t="str">
        <f>IFERROR(I151*'2.1.b Veículos'!G$51,"")</f>
        <v/>
      </c>
      <c r="J235" s="339"/>
    </row>
    <row r="236" spans="1:10" x14ac:dyDescent="0.25">
      <c r="A236" s="725"/>
      <c r="B236" s="726"/>
      <c r="C236" s="726"/>
      <c r="D236" s="727"/>
      <c r="E236" s="328">
        <v>2</v>
      </c>
      <c r="F236" s="338">
        <f>IFERROR(F152*'2.1.b Veículos'!D$51,"")</f>
        <v>0</v>
      </c>
      <c r="G236" s="338" t="str">
        <f>IFERROR(G152*'2.1.b Veículos'!E$51,"")</f>
        <v/>
      </c>
      <c r="H236" s="338">
        <f>IFERROR(H152*'2.1.b Veículos'!F$51,"")</f>
        <v>0</v>
      </c>
      <c r="I236" s="338" t="str">
        <f>IFERROR(I152*'2.1.b Veículos'!G$51,"")</f>
        <v/>
      </c>
      <c r="J236" s="339"/>
    </row>
    <row r="237" spans="1:10" x14ac:dyDescent="0.25">
      <c r="A237" s="725"/>
      <c r="B237" s="726"/>
      <c r="C237" s="726"/>
      <c r="D237" s="727"/>
      <c r="E237" s="328">
        <v>3</v>
      </c>
      <c r="F237" s="338">
        <f>IFERROR(F153*'2.1.b Veículos'!D$51,"")</f>
        <v>0</v>
      </c>
      <c r="G237" s="338" t="str">
        <f>IFERROR(G153*'2.1.b Veículos'!E$51,"")</f>
        <v/>
      </c>
      <c r="H237" s="338">
        <f>IFERROR(H153*'2.1.b Veículos'!F$51,"")</f>
        <v>0</v>
      </c>
      <c r="I237" s="338" t="str">
        <f>IFERROR(I153*'2.1.b Veículos'!G$51,"")</f>
        <v/>
      </c>
      <c r="J237" s="339"/>
    </row>
    <row r="238" spans="1:10" x14ac:dyDescent="0.25">
      <c r="A238" s="725"/>
      <c r="B238" s="726"/>
      <c r="C238" s="726"/>
      <c r="D238" s="727"/>
      <c r="E238" s="328">
        <v>4</v>
      </c>
      <c r="F238" s="338">
        <f>IFERROR(F154*'2.1.b Veículos'!D$51,"")</f>
        <v>0</v>
      </c>
      <c r="G238" s="338" t="str">
        <f>IFERROR(G154*'2.1.b Veículos'!E$51,"")</f>
        <v/>
      </c>
      <c r="H238" s="338">
        <f>IFERROR(H154*'2.1.b Veículos'!F$51,"")</f>
        <v>0</v>
      </c>
      <c r="I238" s="338" t="str">
        <f>IFERROR(I154*'2.1.b Veículos'!G$51,"")</f>
        <v/>
      </c>
      <c r="J238" s="339"/>
    </row>
    <row r="239" spans="1:10" x14ac:dyDescent="0.25">
      <c r="A239" s="725"/>
      <c r="B239" s="726"/>
      <c r="C239" s="726"/>
      <c r="D239" s="727"/>
      <c r="E239" s="328">
        <v>5</v>
      </c>
      <c r="F239" s="338">
        <f>IFERROR(F155*'2.1.b Veículos'!D$51,"")</f>
        <v>0</v>
      </c>
      <c r="G239" s="338" t="str">
        <f>IFERROR(G155*'2.1.b Veículos'!E$51,"")</f>
        <v/>
      </c>
      <c r="H239" s="338">
        <f>IFERROR(H155*'2.1.b Veículos'!F$51,"")</f>
        <v>290702.07</v>
      </c>
      <c r="I239" s="338" t="str">
        <f>IFERROR(I155*'2.1.b Veículos'!G$51,"")</f>
        <v/>
      </c>
      <c r="J239" s="339"/>
    </row>
    <row r="240" spans="1:10" x14ac:dyDescent="0.25">
      <c r="A240" s="725"/>
      <c r="B240" s="726"/>
      <c r="C240" s="726"/>
      <c r="D240" s="727"/>
      <c r="E240" s="328">
        <v>6</v>
      </c>
      <c r="F240" s="338">
        <f>IFERROR(F156*'2.1.b Veículos'!D$51,"")</f>
        <v>0</v>
      </c>
      <c r="G240" s="338" t="str">
        <f>IFERROR(G156*'2.1.b Veículos'!E$51,"")</f>
        <v/>
      </c>
      <c r="H240" s="338">
        <f>IFERROR(H156*'2.1.b Veículos'!F$51,"")</f>
        <v>0</v>
      </c>
      <c r="I240" s="338" t="str">
        <f>IFERROR(I156*'2.1.b Veículos'!G$51,"")</f>
        <v/>
      </c>
      <c r="J240" s="339"/>
    </row>
    <row r="241" spans="1:10" x14ac:dyDescent="0.25">
      <c r="A241" s="725"/>
      <c r="B241" s="726"/>
      <c r="C241" s="726"/>
      <c r="D241" s="727"/>
      <c r="E241" s="328">
        <v>7</v>
      </c>
      <c r="F241" s="338">
        <f>IFERROR(F157*'2.1.b Veículos'!D$51,"")</f>
        <v>0</v>
      </c>
      <c r="G241" s="338" t="str">
        <f>IFERROR(G157*'2.1.b Veículos'!E$51,"")</f>
        <v/>
      </c>
      <c r="H241" s="338">
        <f>IFERROR(H157*'2.1.b Veículos'!F$51,"")</f>
        <v>0</v>
      </c>
      <c r="I241" s="338" t="str">
        <f>IFERROR(I157*'2.1.b Veículos'!G$51,"")</f>
        <v/>
      </c>
      <c r="J241" s="339"/>
    </row>
    <row r="242" spans="1:10" x14ac:dyDescent="0.25">
      <c r="A242" s="725"/>
      <c r="B242" s="726"/>
      <c r="C242" s="726"/>
      <c r="D242" s="727"/>
      <c r="E242" s="328">
        <v>8</v>
      </c>
      <c r="F242" s="338">
        <f>IFERROR(F158*'2.1.b Veículos'!D$51,"")</f>
        <v>0</v>
      </c>
      <c r="G242" s="338" t="str">
        <f>IFERROR(G158*'2.1.b Veículos'!E$51,"")</f>
        <v/>
      </c>
      <c r="H242" s="338">
        <f>IFERROR(H158*'2.1.b Veículos'!F$51,"")</f>
        <v>0</v>
      </c>
      <c r="I242" s="338" t="str">
        <f>IFERROR(I158*'2.1.b Veículos'!G$51,"")</f>
        <v/>
      </c>
      <c r="J242" s="339"/>
    </row>
    <row r="243" spans="1:10" x14ac:dyDescent="0.25">
      <c r="A243" s="725"/>
      <c r="B243" s="726"/>
      <c r="C243" s="726"/>
      <c r="D243" s="727"/>
      <c r="E243" s="328">
        <v>9</v>
      </c>
      <c r="F243" s="338">
        <f>IFERROR(F159*'2.1.b Veículos'!D$51,"")</f>
        <v>0</v>
      </c>
      <c r="G243" s="338"/>
      <c r="H243" s="338"/>
      <c r="I243" s="338"/>
      <c r="J243" s="339"/>
    </row>
    <row r="244" spans="1:10" x14ac:dyDescent="0.25">
      <c r="A244" s="725"/>
      <c r="B244" s="726"/>
      <c r="C244" s="726"/>
      <c r="D244" s="727"/>
      <c r="E244" s="328">
        <v>10</v>
      </c>
      <c r="F244" s="338">
        <f>IFERROR(F160*'2.1.b Veículos'!D$51,"")</f>
        <v>0</v>
      </c>
      <c r="G244" s="338"/>
      <c r="H244" s="338"/>
      <c r="I244" s="338"/>
      <c r="J244" s="339"/>
    </row>
    <row r="245" spans="1:10" x14ac:dyDescent="0.25">
      <c r="A245" s="725"/>
      <c r="B245" s="726"/>
      <c r="C245" s="726"/>
      <c r="D245" s="727"/>
      <c r="E245" s="328">
        <v>11</v>
      </c>
      <c r="F245" s="338">
        <f>IFERROR(F161*'2.1.b Veículos'!D$51,"")</f>
        <v>0</v>
      </c>
      <c r="G245" s="338"/>
      <c r="H245" s="338"/>
      <c r="I245" s="338"/>
      <c r="J245" s="339"/>
    </row>
    <row r="246" spans="1:10" x14ac:dyDescent="0.25">
      <c r="A246" s="725"/>
      <c r="B246" s="726"/>
      <c r="C246" s="726"/>
      <c r="D246" s="727"/>
      <c r="E246" s="328">
        <v>12</v>
      </c>
      <c r="F246" s="338">
        <f>IFERROR(F162*'2.1.b Veículos'!D$51,"")</f>
        <v>0</v>
      </c>
      <c r="G246" s="338"/>
      <c r="H246" s="338"/>
      <c r="I246" s="338"/>
      <c r="J246" s="339"/>
    </row>
    <row r="247" spans="1:10" x14ac:dyDescent="0.25">
      <c r="A247" s="722" t="s">
        <v>15</v>
      </c>
      <c r="B247" s="723"/>
      <c r="C247" s="723"/>
      <c r="D247" s="724"/>
      <c r="E247" s="328">
        <v>0</v>
      </c>
      <c r="F247" s="338" t="str">
        <f>IFERROR(F163*'2.1.b Veículos'!D$52,"")</f>
        <v/>
      </c>
      <c r="G247" s="338" t="str">
        <f>IFERROR(G163*'2.1.b Veículos'!E$52,"")</f>
        <v/>
      </c>
      <c r="H247" s="338" t="str">
        <f>IFERROR(H163*'2.1.b Veículos'!F$52,"")</f>
        <v/>
      </c>
      <c r="I247" s="338" t="str">
        <f>IFERROR(I163*'2.1.b Veículos'!G$52,"")</f>
        <v/>
      </c>
      <c r="J247" s="339"/>
    </row>
    <row r="248" spans="1:10" x14ac:dyDescent="0.25">
      <c r="A248" s="725"/>
      <c r="B248" s="726"/>
      <c r="C248" s="726"/>
      <c r="D248" s="727"/>
      <c r="E248" s="328">
        <v>1</v>
      </c>
      <c r="F248" s="338" t="str">
        <f>IFERROR(F164*'2.1.b Veículos'!D$52,"")</f>
        <v/>
      </c>
      <c r="G248" s="338" t="str">
        <f>IFERROR(G164*'2.1.b Veículos'!E$52,"")</f>
        <v/>
      </c>
      <c r="H248" s="338" t="str">
        <f>IFERROR(H164*'2.1.b Veículos'!F$52,"")</f>
        <v/>
      </c>
      <c r="I248" s="338" t="str">
        <f>IFERROR(I164*'2.1.b Veículos'!G$52,"")</f>
        <v/>
      </c>
      <c r="J248" s="339"/>
    </row>
    <row r="249" spans="1:10" x14ac:dyDescent="0.25">
      <c r="A249" s="725"/>
      <c r="B249" s="726"/>
      <c r="C249" s="726"/>
      <c r="D249" s="727"/>
      <c r="E249" s="328">
        <v>2</v>
      </c>
      <c r="F249" s="338" t="str">
        <f>IFERROR(F165*'2.1.b Veículos'!D$52,"")</f>
        <v/>
      </c>
      <c r="G249" s="338" t="str">
        <f>IFERROR(G165*'2.1.b Veículos'!E$52,"")</f>
        <v/>
      </c>
      <c r="H249" s="338" t="str">
        <f>IFERROR(H165*'2.1.b Veículos'!F$52,"")</f>
        <v/>
      </c>
      <c r="I249" s="338" t="str">
        <f>IFERROR(I165*'2.1.b Veículos'!G$52,"")</f>
        <v/>
      </c>
      <c r="J249" s="339"/>
    </row>
    <row r="250" spans="1:10" x14ac:dyDescent="0.25">
      <c r="A250" s="725"/>
      <c r="B250" s="726"/>
      <c r="C250" s="726"/>
      <c r="D250" s="727"/>
      <c r="E250" s="328">
        <v>3</v>
      </c>
      <c r="F250" s="338" t="str">
        <f>IFERROR(F166*'2.1.b Veículos'!D$52,"")</f>
        <v/>
      </c>
      <c r="G250" s="338" t="str">
        <f>IFERROR(G166*'2.1.b Veículos'!E$52,"")</f>
        <v/>
      </c>
      <c r="H250" s="338" t="str">
        <f>IFERROR(H166*'2.1.b Veículos'!F$52,"")</f>
        <v/>
      </c>
      <c r="I250" s="338" t="str">
        <f>IFERROR(I166*'2.1.b Veículos'!G$52,"")</f>
        <v/>
      </c>
      <c r="J250" s="339"/>
    </row>
    <row r="251" spans="1:10" x14ac:dyDescent="0.25">
      <c r="A251" s="725"/>
      <c r="B251" s="726"/>
      <c r="C251" s="726"/>
      <c r="D251" s="727"/>
      <c r="E251" s="328">
        <v>4</v>
      </c>
      <c r="F251" s="338" t="str">
        <f>IFERROR(F167*'2.1.b Veículos'!D$52,"")</f>
        <v/>
      </c>
      <c r="G251" s="338" t="str">
        <f>IFERROR(G167*'2.1.b Veículos'!E$52,"")</f>
        <v/>
      </c>
      <c r="H251" s="338" t="str">
        <f>IFERROR(H167*'2.1.b Veículos'!F$52,"")</f>
        <v/>
      </c>
      <c r="I251" s="338" t="str">
        <f>IFERROR(I167*'2.1.b Veículos'!G$52,"")</f>
        <v/>
      </c>
      <c r="J251" s="339"/>
    </row>
    <row r="252" spans="1:10" x14ac:dyDescent="0.25">
      <c r="A252" s="725"/>
      <c r="B252" s="726"/>
      <c r="C252" s="726"/>
      <c r="D252" s="727"/>
      <c r="E252" s="328">
        <v>5</v>
      </c>
      <c r="F252" s="338" t="str">
        <f>IFERROR(F168*'2.1.b Veículos'!D$52,"")</f>
        <v/>
      </c>
      <c r="G252" s="338" t="str">
        <f>IFERROR(G168*'2.1.b Veículos'!E$52,"")</f>
        <v/>
      </c>
      <c r="H252" s="338" t="str">
        <f>IFERROR(H168*'2.1.b Veículos'!F$52,"")</f>
        <v/>
      </c>
      <c r="I252" s="338" t="str">
        <f>IFERROR(I168*'2.1.b Veículos'!G$52,"")</f>
        <v/>
      </c>
      <c r="J252" s="339"/>
    </row>
    <row r="253" spans="1:10" x14ac:dyDescent="0.25">
      <c r="A253" s="725"/>
      <c r="B253" s="726"/>
      <c r="C253" s="726"/>
      <c r="D253" s="727"/>
      <c r="E253" s="328">
        <v>6</v>
      </c>
      <c r="F253" s="338" t="str">
        <f>IFERROR(F169*'2.1.b Veículos'!D$52,"")</f>
        <v/>
      </c>
      <c r="G253" s="338" t="str">
        <f>IFERROR(G169*'2.1.b Veículos'!E$52,"")</f>
        <v/>
      </c>
      <c r="H253" s="338" t="str">
        <f>IFERROR(H169*'2.1.b Veículos'!F$52,"")</f>
        <v/>
      </c>
      <c r="I253" s="338" t="str">
        <f>IFERROR(I169*'2.1.b Veículos'!G$52,"")</f>
        <v/>
      </c>
      <c r="J253" s="339"/>
    </row>
    <row r="254" spans="1:10" x14ac:dyDescent="0.25">
      <c r="A254" s="725"/>
      <c r="B254" s="726"/>
      <c r="C254" s="726"/>
      <c r="D254" s="727"/>
      <c r="E254" s="328">
        <v>7</v>
      </c>
      <c r="F254" s="338" t="str">
        <f>IFERROR(F170*'2.1.b Veículos'!D$52,"")</f>
        <v/>
      </c>
      <c r="G254" s="338" t="str">
        <f>IFERROR(G170*'2.1.b Veículos'!E$52,"")</f>
        <v/>
      </c>
      <c r="H254" s="338" t="str">
        <f>IFERROR(H170*'2.1.b Veículos'!F$52,"")</f>
        <v/>
      </c>
      <c r="I254" s="338" t="str">
        <f>IFERROR(I170*'2.1.b Veículos'!G$52,"")</f>
        <v/>
      </c>
      <c r="J254" s="339"/>
    </row>
    <row r="255" spans="1:10" x14ac:dyDescent="0.25">
      <c r="A255" s="725"/>
      <c r="B255" s="726"/>
      <c r="C255" s="726"/>
      <c r="D255" s="727"/>
      <c r="E255" s="328">
        <v>8</v>
      </c>
      <c r="F255" s="338" t="str">
        <f>IFERROR(F171*'2.1.b Veículos'!D$52,"")</f>
        <v/>
      </c>
      <c r="G255" s="338" t="str">
        <f>IFERROR(G171*'2.1.b Veículos'!E$52,"")</f>
        <v/>
      </c>
      <c r="H255" s="338" t="str">
        <f>IFERROR(H171*'2.1.b Veículos'!F$52,"")</f>
        <v/>
      </c>
      <c r="I255" s="338" t="str">
        <f>IFERROR(I171*'2.1.b Veículos'!G$52,"")</f>
        <v/>
      </c>
      <c r="J255" s="339"/>
    </row>
    <row r="256" spans="1:10" x14ac:dyDescent="0.25">
      <c r="A256" s="725"/>
      <c r="B256" s="726"/>
      <c r="C256" s="726"/>
      <c r="D256" s="727"/>
      <c r="E256" s="328">
        <v>9</v>
      </c>
      <c r="F256" s="338" t="str">
        <f>IFERROR(F172*'2.1.b Veículos'!D$52,"")</f>
        <v/>
      </c>
      <c r="G256" s="338" t="str">
        <f>IFERROR(G172*'2.1.b Veículos'!E$52,"")</f>
        <v/>
      </c>
      <c r="H256" s="338" t="str">
        <f>IFERROR(H172*'2.1.b Veículos'!F$52,"")</f>
        <v/>
      </c>
      <c r="I256" s="338" t="str">
        <f>IFERROR(I172*'2.1.b Veículos'!G$52,"")</f>
        <v/>
      </c>
      <c r="J256" s="339"/>
    </row>
    <row r="257" spans="1:10" x14ac:dyDescent="0.25">
      <c r="A257" s="728"/>
      <c r="B257" s="729"/>
      <c r="C257" s="729"/>
      <c r="D257" s="730"/>
      <c r="E257" s="328">
        <v>10</v>
      </c>
      <c r="F257" s="338" t="str">
        <f>IFERROR(F173*'2.1.b Veículos'!D$52,"")</f>
        <v/>
      </c>
      <c r="G257" s="338" t="str">
        <f>IFERROR(G173*'2.1.b Veículos'!E$52,"")</f>
        <v/>
      </c>
      <c r="H257" s="338" t="str">
        <f>IFERROR(H173*'2.1.b Veículos'!F$52,"")</f>
        <v/>
      </c>
      <c r="I257" s="338" t="str">
        <f>IFERROR(I173*'2.1.b Veículos'!G$52,"")</f>
        <v/>
      </c>
      <c r="J257" s="339"/>
    </row>
    <row r="258" spans="1:10" x14ac:dyDescent="0.25">
      <c r="A258" s="731" t="s">
        <v>16</v>
      </c>
      <c r="B258" s="731"/>
      <c r="C258" s="731"/>
      <c r="D258" s="731"/>
      <c r="E258" s="328">
        <v>0</v>
      </c>
      <c r="F258" s="338" t="str">
        <f>IFERROR(F174*'2.1.b Veículos'!D$53,"")</f>
        <v/>
      </c>
      <c r="G258" s="338" t="str">
        <f>IFERROR(G174*'2.1.b Veículos'!E$53,"")</f>
        <v/>
      </c>
      <c r="H258" s="338" t="str">
        <f>IFERROR(H174*'2.1.b Veículos'!F$53,"")</f>
        <v/>
      </c>
      <c r="I258" s="338" t="str">
        <f>IFERROR(I174*'2.1.b Veículos'!G$53,"")</f>
        <v/>
      </c>
      <c r="J258" s="339"/>
    </row>
    <row r="259" spans="1:10" x14ac:dyDescent="0.25">
      <c r="A259" s="731"/>
      <c r="B259" s="731"/>
      <c r="C259" s="731"/>
      <c r="D259" s="731"/>
      <c r="E259" s="328">
        <v>1</v>
      </c>
      <c r="F259" s="338" t="str">
        <f>IFERROR(F175*'2.1.b Veículos'!D$53,"")</f>
        <v/>
      </c>
      <c r="G259" s="338" t="str">
        <f>IFERROR(G175*'2.1.b Veículos'!E$53,"")</f>
        <v/>
      </c>
      <c r="H259" s="338" t="str">
        <f>IFERROR(H175*'2.1.b Veículos'!F$53,"")</f>
        <v/>
      </c>
      <c r="I259" s="338" t="str">
        <f>IFERROR(I175*'2.1.b Veículos'!G$53,"")</f>
        <v/>
      </c>
      <c r="J259" s="339"/>
    </row>
    <row r="260" spans="1:10" x14ac:dyDescent="0.25">
      <c r="A260" s="731"/>
      <c r="B260" s="731"/>
      <c r="C260" s="731"/>
      <c r="D260" s="731"/>
      <c r="E260" s="328">
        <v>2</v>
      </c>
      <c r="F260" s="338" t="str">
        <f>IFERROR(F176*'2.1.b Veículos'!D$53,"")</f>
        <v/>
      </c>
      <c r="G260" s="338" t="str">
        <f>IFERROR(G176*'2.1.b Veículos'!E$53,"")</f>
        <v/>
      </c>
      <c r="H260" s="338" t="str">
        <f>IFERROR(H176*'2.1.b Veículos'!F$53,"")</f>
        <v/>
      </c>
      <c r="I260" s="338" t="str">
        <f>IFERROR(I176*'2.1.b Veículos'!G$53,"")</f>
        <v/>
      </c>
      <c r="J260" s="339"/>
    </row>
    <row r="261" spans="1:10" x14ac:dyDescent="0.25">
      <c r="A261" s="731"/>
      <c r="B261" s="731"/>
      <c r="C261" s="731"/>
      <c r="D261" s="731"/>
      <c r="E261" s="328">
        <v>3</v>
      </c>
      <c r="F261" s="338" t="str">
        <f>IFERROR(F177*'2.1.b Veículos'!D$53,"")</f>
        <v/>
      </c>
      <c r="G261" s="338" t="str">
        <f>IFERROR(G177*'2.1.b Veículos'!E$53,"")</f>
        <v/>
      </c>
      <c r="H261" s="338" t="str">
        <f>IFERROR(H177*'2.1.b Veículos'!F$53,"")</f>
        <v/>
      </c>
      <c r="I261" s="338" t="str">
        <f>IFERROR(I177*'2.1.b Veículos'!G$53,"")</f>
        <v/>
      </c>
      <c r="J261" s="339"/>
    </row>
    <row r="262" spans="1:10" x14ac:dyDescent="0.25">
      <c r="A262" s="731"/>
      <c r="B262" s="731"/>
      <c r="C262" s="731"/>
      <c r="D262" s="731"/>
      <c r="E262" s="328">
        <v>4</v>
      </c>
      <c r="F262" s="338" t="str">
        <f>IFERROR(F178*'2.1.b Veículos'!D$53,"")</f>
        <v/>
      </c>
      <c r="G262" s="338" t="str">
        <f>IFERROR(G178*'2.1.b Veículos'!E$53,"")</f>
        <v/>
      </c>
      <c r="H262" s="338" t="str">
        <f>IFERROR(H178*'2.1.b Veículos'!F$53,"")</f>
        <v/>
      </c>
      <c r="I262" s="338" t="str">
        <f>IFERROR(I178*'2.1.b Veículos'!G$53,"")</f>
        <v/>
      </c>
      <c r="J262" s="339"/>
    </row>
    <row r="263" spans="1:10" x14ac:dyDescent="0.25">
      <c r="A263" s="731"/>
      <c r="B263" s="731"/>
      <c r="C263" s="731"/>
      <c r="D263" s="731"/>
      <c r="E263" s="328">
        <v>5</v>
      </c>
      <c r="F263" s="338" t="str">
        <f>IFERROR(F179*'2.1.b Veículos'!D$53,"")</f>
        <v/>
      </c>
      <c r="G263" s="338" t="str">
        <f>IFERROR(G179*'2.1.b Veículos'!E$53,"")</f>
        <v/>
      </c>
      <c r="H263" s="338" t="str">
        <f>IFERROR(H179*'2.1.b Veículos'!F$53,"")</f>
        <v/>
      </c>
      <c r="I263" s="338" t="str">
        <f>IFERROR(I179*'2.1.b Veículos'!G$53,"")</f>
        <v/>
      </c>
      <c r="J263" s="339"/>
    </row>
    <row r="264" spans="1:10" x14ac:dyDescent="0.25">
      <c r="A264" s="731"/>
      <c r="B264" s="731"/>
      <c r="C264" s="731"/>
      <c r="D264" s="731"/>
      <c r="E264" s="328">
        <v>6</v>
      </c>
      <c r="F264" s="338" t="str">
        <f>IFERROR(F180*'2.1.b Veículos'!D$53,"")</f>
        <v/>
      </c>
      <c r="G264" s="338" t="str">
        <f>IFERROR(G180*'2.1.b Veículos'!E$53,"")</f>
        <v/>
      </c>
      <c r="H264" s="338" t="str">
        <f>IFERROR(H180*'2.1.b Veículos'!F$53,"")</f>
        <v/>
      </c>
      <c r="I264" s="338" t="str">
        <f>IFERROR(I180*'2.1.b Veículos'!G$53,"")</f>
        <v/>
      </c>
      <c r="J264" s="339"/>
    </row>
    <row r="265" spans="1:10" x14ac:dyDescent="0.25">
      <c r="A265" s="731"/>
      <c r="B265" s="731"/>
      <c r="C265" s="731"/>
      <c r="D265" s="731"/>
      <c r="E265" s="328">
        <v>7</v>
      </c>
      <c r="F265" s="338" t="str">
        <f>IFERROR(F181*'2.1.b Veículos'!D$53,"")</f>
        <v/>
      </c>
      <c r="G265" s="338" t="str">
        <f>IFERROR(G181*'2.1.b Veículos'!E$53,"")</f>
        <v/>
      </c>
      <c r="H265" s="338" t="str">
        <f>IFERROR(H181*'2.1.b Veículos'!F$53,"")</f>
        <v/>
      </c>
      <c r="I265" s="338" t="str">
        <f>IFERROR(I181*'2.1.b Veículos'!G$53,"")</f>
        <v/>
      </c>
      <c r="J265" s="339"/>
    </row>
    <row r="266" spans="1:10" x14ac:dyDescent="0.25">
      <c r="A266" s="731"/>
      <c r="B266" s="731"/>
      <c r="C266" s="731"/>
      <c r="D266" s="731"/>
      <c r="E266" s="328">
        <v>8</v>
      </c>
      <c r="F266" s="338" t="str">
        <f>IFERROR(F182*'2.1.b Veículos'!D$53,"")</f>
        <v/>
      </c>
      <c r="G266" s="338" t="str">
        <f>IFERROR(G182*'2.1.b Veículos'!E$53,"")</f>
        <v/>
      </c>
      <c r="H266" s="338" t="str">
        <f>IFERROR(H182*'2.1.b Veículos'!F$53,"")</f>
        <v/>
      </c>
      <c r="I266" s="338" t="str">
        <f>IFERROR(I182*'2.1.b Veículos'!G$53,"")</f>
        <v/>
      </c>
      <c r="J266" s="339"/>
    </row>
    <row r="267" spans="1:10" x14ac:dyDescent="0.25">
      <c r="A267" s="731"/>
      <c r="B267" s="731"/>
      <c r="C267" s="731"/>
      <c r="D267" s="731"/>
      <c r="E267" s="328">
        <v>9</v>
      </c>
      <c r="F267" s="338" t="str">
        <f>IFERROR(F183*'2.1.b Veículos'!D$53,"")</f>
        <v/>
      </c>
      <c r="G267" s="338" t="str">
        <f>IFERROR(G183*'2.1.b Veículos'!E$53,"")</f>
        <v/>
      </c>
      <c r="H267" s="338" t="str">
        <f>IFERROR(H183*'2.1.b Veículos'!F$53,"")</f>
        <v/>
      </c>
      <c r="I267" s="338" t="str">
        <f>IFERROR(I183*'2.1.b Veículos'!G$53,"")</f>
        <v/>
      </c>
      <c r="J267" s="339"/>
    </row>
    <row r="268" spans="1:10" x14ac:dyDescent="0.25">
      <c r="A268" s="731"/>
      <c r="B268" s="731"/>
      <c r="C268" s="731"/>
      <c r="D268" s="731"/>
      <c r="E268" s="328">
        <v>10</v>
      </c>
      <c r="F268" s="338" t="str">
        <f>IFERROR(F184*'2.1.b Veículos'!D$53,"")</f>
        <v/>
      </c>
      <c r="G268" s="338" t="str">
        <f>IFERROR(G184*'2.1.b Veículos'!E$53,"")</f>
        <v/>
      </c>
      <c r="H268" s="338" t="str">
        <f>IFERROR(H184*'2.1.b Veículos'!F$53,"")</f>
        <v/>
      </c>
      <c r="I268" s="338" t="str">
        <f>IFERROR(I184*'2.1.b Veículos'!G$53,"")</f>
        <v/>
      </c>
      <c r="J268" s="339"/>
    </row>
    <row r="269" spans="1:10" x14ac:dyDescent="0.25">
      <c r="A269" s="731"/>
      <c r="B269" s="731"/>
      <c r="C269" s="731"/>
      <c r="D269" s="731"/>
      <c r="E269" s="328">
        <v>11</v>
      </c>
      <c r="F269" s="338" t="str">
        <f>IFERROR(F185*'2.1.b Veículos'!D$53,"")</f>
        <v/>
      </c>
      <c r="G269" s="338" t="str">
        <f>IFERROR(G185*'2.1.b Veículos'!E$53,"")</f>
        <v/>
      </c>
      <c r="H269" s="338" t="str">
        <f>IFERROR(H185*'2.1.b Veículos'!F$53,"")</f>
        <v/>
      </c>
      <c r="I269" s="338" t="str">
        <f>IFERROR(I185*'2.1.b Veículos'!G$53,"")</f>
        <v/>
      </c>
      <c r="J269" s="339"/>
    </row>
    <row r="270" spans="1:10" x14ac:dyDescent="0.25">
      <c r="A270" s="731"/>
      <c r="B270" s="731"/>
      <c r="C270" s="731"/>
      <c r="D270" s="731"/>
      <c r="E270" s="328">
        <v>12</v>
      </c>
      <c r="F270" s="338" t="str">
        <f>IFERROR(F186*'2.1.b Veículos'!D$53,"")</f>
        <v/>
      </c>
      <c r="G270" s="338" t="str">
        <f>IFERROR(G186*'2.1.b Veículos'!E$53,"")</f>
        <v/>
      </c>
      <c r="H270" s="338" t="str">
        <f>IFERROR(H186*'2.1.b Veículos'!F$53,"")</f>
        <v/>
      </c>
      <c r="I270" s="338" t="str">
        <f>IFERROR(I186*'2.1.b Veículos'!G$53,"")</f>
        <v/>
      </c>
      <c r="J270" s="339"/>
    </row>
    <row r="271" spans="1:10" x14ac:dyDescent="0.25">
      <c r="A271" s="731" t="s">
        <v>17</v>
      </c>
      <c r="B271" s="731"/>
      <c r="C271" s="731"/>
      <c r="D271" s="731"/>
      <c r="E271" s="328">
        <v>0</v>
      </c>
      <c r="F271" s="338" t="str">
        <f>IFERROR(F187*'2.1.b Veículos'!D$54,"")</f>
        <v/>
      </c>
      <c r="G271" s="338" t="str">
        <f>IFERROR(G187*'2.1.b Veículos'!E$54,"")</f>
        <v/>
      </c>
      <c r="H271" s="338" t="str">
        <f>IFERROR(H187*'2.1.b Veículos'!F$54,"")</f>
        <v/>
      </c>
      <c r="I271" s="338" t="str">
        <f>IFERROR(I187*'2.1.b Veículos'!G$54,"")</f>
        <v/>
      </c>
      <c r="J271" s="339"/>
    </row>
    <row r="272" spans="1:10" x14ac:dyDescent="0.25">
      <c r="A272" s="731"/>
      <c r="B272" s="731"/>
      <c r="C272" s="731"/>
      <c r="D272" s="731"/>
      <c r="E272" s="328">
        <v>1</v>
      </c>
      <c r="F272" s="338" t="str">
        <f>IFERROR(F188*'2.1.b Veículos'!D$54,"")</f>
        <v/>
      </c>
      <c r="G272" s="338" t="str">
        <f>IFERROR(G188*'2.1.b Veículos'!E$54,"")</f>
        <v/>
      </c>
      <c r="H272" s="338" t="str">
        <f>IFERROR(H188*'2.1.b Veículos'!F$54,"")</f>
        <v/>
      </c>
      <c r="I272" s="338" t="str">
        <f>IFERROR(I188*'2.1.b Veículos'!G$54,"")</f>
        <v/>
      </c>
      <c r="J272" s="339"/>
    </row>
    <row r="273" spans="1:10" x14ac:dyDescent="0.25">
      <c r="A273" s="731"/>
      <c r="B273" s="731"/>
      <c r="C273" s="731"/>
      <c r="D273" s="731"/>
      <c r="E273" s="328">
        <v>2</v>
      </c>
      <c r="F273" s="338" t="str">
        <f>IFERROR(F189*'2.1.b Veículos'!D$54,"")</f>
        <v/>
      </c>
      <c r="G273" s="338" t="str">
        <f>IFERROR(G189*'2.1.b Veículos'!E$54,"")</f>
        <v/>
      </c>
      <c r="H273" s="338" t="str">
        <f>IFERROR(H189*'2.1.b Veículos'!F$54,"")</f>
        <v/>
      </c>
      <c r="I273" s="338" t="str">
        <f>IFERROR(I189*'2.1.b Veículos'!G$54,"")</f>
        <v/>
      </c>
      <c r="J273" s="339"/>
    </row>
    <row r="274" spans="1:10" x14ac:dyDescent="0.25">
      <c r="A274" s="731"/>
      <c r="B274" s="731"/>
      <c r="C274" s="731"/>
      <c r="D274" s="731"/>
      <c r="E274" s="328">
        <v>3</v>
      </c>
      <c r="F274" s="338" t="str">
        <f>IFERROR(F190*'2.1.b Veículos'!D$54,"")</f>
        <v/>
      </c>
      <c r="G274" s="338" t="str">
        <f>IFERROR(G190*'2.1.b Veículos'!E$54,"")</f>
        <v/>
      </c>
      <c r="H274" s="338" t="str">
        <f>IFERROR(H190*'2.1.b Veículos'!F$54,"")</f>
        <v/>
      </c>
      <c r="I274" s="338" t="str">
        <f>IFERROR(I190*'2.1.b Veículos'!G$54,"")</f>
        <v/>
      </c>
      <c r="J274" s="339"/>
    </row>
    <row r="275" spans="1:10" x14ac:dyDescent="0.25">
      <c r="A275" s="731"/>
      <c r="B275" s="731"/>
      <c r="C275" s="731"/>
      <c r="D275" s="731"/>
      <c r="E275" s="328">
        <v>4</v>
      </c>
      <c r="F275" s="338" t="str">
        <f>IFERROR(F191*'2.1.b Veículos'!D$54,"")</f>
        <v/>
      </c>
      <c r="G275" s="338" t="str">
        <f>IFERROR(G191*'2.1.b Veículos'!E$54,"")</f>
        <v/>
      </c>
      <c r="H275" s="338" t="str">
        <f>IFERROR(H191*'2.1.b Veículos'!F$54,"")</f>
        <v/>
      </c>
      <c r="I275" s="338" t="str">
        <f>IFERROR(I191*'2.1.b Veículos'!G$54,"")</f>
        <v/>
      </c>
      <c r="J275" s="339"/>
    </row>
    <row r="276" spans="1:10" x14ac:dyDescent="0.25">
      <c r="A276" s="731"/>
      <c r="B276" s="731"/>
      <c r="C276" s="731"/>
      <c r="D276" s="731"/>
      <c r="E276" s="328">
        <v>5</v>
      </c>
      <c r="F276" s="338" t="str">
        <f>IFERROR(F192*'2.1.b Veículos'!D$54,"")</f>
        <v/>
      </c>
      <c r="G276" s="338" t="str">
        <f>IFERROR(G192*'2.1.b Veículos'!E$54,"")</f>
        <v/>
      </c>
      <c r="H276" s="338" t="str">
        <f>IFERROR(H192*'2.1.b Veículos'!F$54,"")</f>
        <v/>
      </c>
      <c r="I276" s="338" t="str">
        <f>IFERROR(I192*'2.1.b Veículos'!G$54,"")</f>
        <v/>
      </c>
      <c r="J276" s="339"/>
    </row>
    <row r="277" spans="1:10" x14ac:dyDescent="0.25">
      <c r="A277" s="731"/>
      <c r="B277" s="731"/>
      <c r="C277" s="731"/>
      <c r="D277" s="731"/>
      <c r="E277" s="328">
        <v>6</v>
      </c>
      <c r="F277" s="338" t="str">
        <f>IFERROR(F193*'2.1.b Veículos'!D$54,"")</f>
        <v/>
      </c>
      <c r="G277" s="338" t="str">
        <f>IFERROR(G193*'2.1.b Veículos'!E$54,"")</f>
        <v/>
      </c>
      <c r="H277" s="338" t="str">
        <f>IFERROR(H193*'2.1.b Veículos'!F$54,"")</f>
        <v/>
      </c>
      <c r="I277" s="338" t="str">
        <f>IFERROR(I193*'2.1.b Veículos'!G$54,"")</f>
        <v/>
      </c>
      <c r="J277" s="339"/>
    </row>
    <row r="278" spans="1:10" x14ac:dyDescent="0.25">
      <c r="A278" s="731"/>
      <c r="B278" s="731"/>
      <c r="C278" s="731"/>
      <c r="D278" s="731"/>
      <c r="E278" s="328">
        <v>7</v>
      </c>
      <c r="F278" s="338" t="str">
        <f>IFERROR(F194*'2.1.b Veículos'!D$54,"")</f>
        <v/>
      </c>
      <c r="G278" s="338" t="str">
        <f>IFERROR(G194*'2.1.b Veículos'!E$54,"")</f>
        <v/>
      </c>
      <c r="H278" s="338" t="str">
        <f>IFERROR(H194*'2.1.b Veículos'!F$54,"")</f>
        <v/>
      </c>
      <c r="I278" s="338" t="str">
        <f>IFERROR(I194*'2.1.b Veículos'!G$54,"")</f>
        <v/>
      </c>
      <c r="J278" s="339"/>
    </row>
    <row r="279" spans="1:10" x14ac:dyDescent="0.25">
      <c r="A279" s="731"/>
      <c r="B279" s="731"/>
      <c r="C279" s="731"/>
      <c r="D279" s="731"/>
      <c r="E279" s="328">
        <v>8</v>
      </c>
      <c r="F279" s="338" t="str">
        <f>IFERROR(F195*'2.1.b Veículos'!D$54,"")</f>
        <v/>
      </c>
      <c r="G279" s="338" t="str">
        <f>IFERROR(G195*'2.1.b Veículos'!E$54,"")</f>
        <v/>
      </c>
      <c r="H279" s="338" t="str">
        <f>IFERROR(H195*'2.1.b Veículos'!F$54,"")</f>
        <v/>
      </c>
      <c r="I279" s="338" t="str">
        <f>IFERROR(I195*'2.1.b Veículos'!G$54,"")</f>
        <v/>
      </c>
      <c r="J279" s="339"/>
    </row>
    <row r="280" spans="1:10" x14ac:dyDescent="0.25">
      <c r="A280" s="731"/>
      <c r="B280" s="731"/>
      <c r="C280" s="731"/>
      <c r="D280" s="731"/>
      <c r="E280" s="328">
        <v>9</v>
      </c>
      <c r="F280" s="338" t="str">
        <f>IFERROR(F196*'2.1.b Veículos'!D$54,"")</f>
        <v/>
      </c>
      <c r="G280" s="338" t="str">
        <f>IFERROR(G196*'2.1.b Veículos'!E$54,"")</f>
        <v/>
      </c>
      <c r="H280" s="338" t="str">
        <f>IFERROR(H196*'2.1.b Veículos'!F$54,"")</f>
        <v/>
      </c>
      <c r="I280" s="338" t="str">
        <f>IFERROR(I196*'2.1.b Veículos'!G$54,"")</f>
        <v/>
      </c>
      <c r="J280" s="339"/>
    </row>
    <row r="281" spans="1:10" x14ac:dyDescent="0.25">
      <c r="A281" s="731"/>
      <c r="B281" s="731"/>
      <c r="C281" s="731"/>
      <c r="D281" s="731"/>
      <c r="E281" s="328">
        <v>10</v>
      </c>
      <c r="F281" s="338" t="str">
        <f>IFERROR(F197*'2.1.b Veículos'!D$54,"")</f>
        <v/>
      </c>
      <c r="G281" s="338" t="str">
        <f>IFERROR(G197*'2.1.b Veículos'!E$54,"")</f>
        <v/>
      </c>
      <c r="H281" s="338" t="str">
        <f>IFERROR(H197*'2.1.b Veículos'!F$54,"")</f>
        <v/>
      </c>
      <c r="I281" s="338" t="str">
        <f>IFERROR(I197*'2.1.b Veículos'!G$54,"")</f>
        <v/>
      </c>
      <c r="J281" s="339"/>
    </row>
    <row r="282" spans="1:10" x14ac:dyDescent="0.25">
      <c r="A282" s="731"/>
      <c r="B282" s="731"/>
      <c r="C282" s="731"/>
      <c r="D282" s="731"/>
      <c r="E282" s="328">
        <v>11</v>
      </c>
      <c r="F282" s="338" t="str">
        <f>IFERROR(F198*'2.1.b Veículos'!D$54,"")</f>
        <v/>
      </c>
      <c r="G282" s="338" t="str">
        <f>IFERROR(G198*'2.1.b Veículos'!E$54,"")</f>
        <v/>
      </c>
      <c r="H282" s="338" t="str">
        <f>IFERROR(H198*'2.1.b Veículos'!F$54,"")</f>
        <v/>
      </c>
      <c r="I282" s="338" t="str">
        <f>IFERROR(I198*'2.1.b Veículos'!G$54,"")</f>
        <v/>
      </c>
      <c r="J282" s="339"/>
    </row>
    <row r="283" spans="1:10" x14ac:dyDescent="0.25">
      <c r="A283" s="731"/>
      <c r="B283" s="731"/>
      <c r="C283" s="731"/>
      <c r="D283" s="731"/>
      <c r="E283" s="328">
        <v>12</v>
      </c>
      <c r="F283" s="338" t="str">
        <f>IFERROR(F199*'2.1.b Veículos'!D$54,"")</f>
        <v/>
      </c>
      <c r="G283" s="338" t="str">
        <f>IFERROR(G199*'2.1.b Veículos'!E$54,"")</f>
        <v/>
      </c>
      <c r="H283" s="338" t="str">
        <f>IFERROR(H199*'2.1.b Veículos'!F$54,"")</f>
        <v/>
      </c>
      <c r="I283" s="338" t="str">
        <f>IFERROR(I199*'2.1.b Veículos'!G$54,"")</f>
        <v/>
      </c>
      <c r="J283" s="339"/>
    </row>
    <row r="284" spans="1:10" x14ac:dyDescent="0.25">
      <c r="A284" s="339"/>
      <c r="B284" s="339"/>
      <c r="C284" s="339"/>
      <c r="D284" s="339"/>
      <c r="E284" s="339"/>
      <c r="F284" s="339"/>
      <c r="G284" s="339"/>
      <c r="H284" s="339"/>
      <c r="I284" s="339"/>
      <c r="J284" s="339"/>
    </row>
    <row r="285" spans="1:10" x14ac:dyDescent="0.25">
      <c r="A285" s="339"/>
      <c r="B285" s="339"/>
      <c r="C285" s="339"/>
      <c r="D285" s="339"/>
      <c r="E285" s="339"/>
      <c r="F285" s="339"/>
      <c r="G285" s="339"/>
      <c r="H285" s="339"/>
      <c r="I285" s="339"/>
      <c r="J285" s="339"/>
    </row>
    <row r="286" spans="1:10" ht="15.75" thickBot="1" x14ac:dyDescent="0.3">
      <c r="A286" s="78" t="s">
        <v>716</v>
      </c>
      <c r="B286" s="78" t="s">
        <v>133</v>
      </c>
    </row>
    <row r="287" spans="1:10" ht="21.75" thickBot="1" x14ac:dyDescent="0.3">
      <c r="A287" s="720" t="s">
        <v>132</v>
      </c>
      <c r="B287" s="720"/>
      <c r="C287" s="720"/>
      <c r="D287" s="720"/>
      <c r="E287" s="720"/>
      <c r="F287" s="721"/>
      <c r="G287" s="340">
        <f>SUM(F204:I283)/12</f>
        <v>173291.56718181822</v>
      </c>
    </row>
  </sheetData>
  <mergeCells count="58">
    <mergeCell ref="A36:D46"/>
    <mergeCell ref="A53:D65"/>
    <mergeCell ref="A66:D78"/>
    <mergeCell ref="A137:D149"/>
    <mergeCell ref="A14:D14"/>
    <mergeCell ref="A120:D130"/>
    <mergeCell ref="E13:E14"/>
    <mergeCell ref="F13:F14"/>
    <mergeCell ref="A17:C18"/>
    <mergeCell ref="D17:D18"/>
    <mergeCell ref="A12:D12"/>
    <mergeCell ref="F6:F7"/>
    <mergeCell ref="A8:D8"/>
    <mergeCell ref="E8:E9"/>
    <mergeCell ref="F8:F9"/>
    <mergeCell ref="A9:D9"/>
    <mergeCell ref="J202:J203"/>
    <mergeCell ref="A90:D102"/>
    <mergeCell ref="H118:I118"/>
    <mergeCell ref="F118:G118"/>
    <mergeCell ref="A47:D52"/>
    <mergeCell ref="A79:D89"/>
    <mergeCell ref="A118:D119"/>
    <mergeCell ref="A174:D186"/>
    <mergeCell ref="A187:D199"/>
    <mergeCell ref="H202:I202"/>
    <mergeCell ref="A202:D203"/>
    <mergeCell ref="E118:E119"/>
    <mergeCell ref="A163:D173"/>
    <mergeCell ref="A131:D136"/>
    <mergeCell ref="J118:J119"/>
    <mergeCell ref="A150:D162"/>
    <mergeCell ref="K6:N6"/>
    <mergeCell ref="A13:D13"/>
    <mergeCell ref="E34:E35"/>
    <mergeCell ref="F34:G34"/>
    <mergeCell ref="A103:D115"/>
    <mergeCell ref="G17:G18"/>
    <mergeCell ref="H34:I34"/>
    <mergeCell ref="A34:D35"/>
    <mergeCell ref="E17:E18"/>
    <mergeCell ref="E10:E11"/>
    <mergeCell ref="F10:F11"/>
    <mergeCell ref="F17:F18"/>
    <mergeCell ref="A11:D11"/>
    <mergeCell ref="A10:D10"/>
    <mergeCell ref="A6:D7"/>
    <mergeCell ref="E6:E7"/>
    <mergeCell ref="F202:G202"/>
    <mergeCell ref="A287:F287"/>
    <mergeCell ref="A247:D257"/>
    <mergeCell ref="A271:D283"/>
    <mergeCell ref="A258:D270"/>
    <mergeCell ref="E202:E203"/>
    <mergeCell ref="A204:D214"/>
    <mergeCell ref="A221:D233"/>
    <mergeCell ref="A234:D246"/>
    <mergeCell ref="A215:D220"/>
  </mergeCells>
  <pageMargins left="7.874015748031496E-2" right="7.874015748031496E-2" top="0.74803149606299213" bottom="0.74803149606299213" header="0.31496062992125984" footer="0.31496062992125984"/>
  <pageSetup paperSize="9" scale="55"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3">
    <tabColor theme="6" tint="0.39997558519241921"/>
  </sheetPr>
  <dimension ref="A1:R35"/>
  <sheetViews>
    <sheetView showGridLines="0" topLeftCell="A4" workbookViewId="0">
      <selection activeCell="K15" sqref="K15"/>
    </sheetView>
  </sheetViews>
  <sheetFormatPr defaultColWidth="11.42578125" defaultRowHeight="15" x14ac:dyDescent="0.25"/>
  <cols>
    <col min="1" max="1" width="7" style="4" customWidth="1"/>
    <col min="2" max="2" width="2.7109375" style="4" customWidth="1"/>
    <col min="3" max="3" width="3.5703125" style="4" bestFit="1" customWidth="1"/>
    <col min="4" max="4" width="14.5703125" style="4" customWidth="1"/>
    <col min="5" max="5" width="16.28515625" style="4" bestFit="1" customWidth="1"/>
    <col min="6" max="6" width="18.85546875" style="4" bestFit="1" customWidth="1"/>
    <col min="7" max="7" width="4.140625" style="4" bestFit="1" customWidth="1"/>
    <col min="8" max="8" width="6.5703125" style="4" bestFit="1" customWidth="1"/>
    <col min="9" max="9" width="10.5703125" style="4" customWidth="1"/>
    <col min="10" max="10" width="15.7109375" style="4" bestFit="1" customWidth="1"/>
    <col min="11" max="11" width="38.7109375" style="4" customWidth="1"/>
    <col min="12" max="12" width="1.42578125" style="4" customWidth="1"/>
    <col min="13" max="17" width="11.42578125" style="4" customWidth="1"/>
    <col min="18" max="18" width="13.85546875" style="4" bestFit="1" customWidth="1"/>
    <col min="19" max="16384" width="11.42578125" style="4"/>
  </cols>
  <sheetData>
    <row r="1" spans="1:18" x14ac:dyDescent="0.25">
      <c r="A1" s="5" t="s">
        <v>700</v>
      </c>
    </row>
    <row r="2" spans="1:18" ht="15.75" thickBot="1" x14ac:dyDescent="0.3"/>
    <row r="3" spans="1:18" ht="15.75" thickBot="1" x14ac:dyDescent="0.3">
      <c r="A3" s="7" t="s">
        <v>717</v>
      </c>
      <c r="M3" s="790" t="s">
        <v>84</v>
      </c>
      <c r="N3" s="791"/>
      <c r="O3" s="791"/>
      <c r="P3" s="792"/>
    </row>
    <row r="4" spans="1:18" x14ac:dyDescent="0.25">
      <c r="A4" s="7"/>
      <c r="M4" s="18"/>
      <c r="N4" s="20"/>
      <c r="O4" s="20"/>
      <c r="P4" s="19"/>
    </row>
    <row r="5" spans="1:18" x14ac:dyDescent="0.25">
      <c r="A5" s="6" t="s">
        <v>718</v>
      </c>
      <c r="B5" s="7" t="s">
        <v>135</v>
      </c>
      <c r="M5" s="8"/>
      <c r="N5" s="1"/>
      <c r="O5" s="14" t="s">
        <v>82</v>
      </c>
      <c r="P5" s="9"/>
    </row>
    <row r="6" spans="1:18" x14ac:dyDescent="0.25">
      <c r="A6" s="6"/>
      <c r="B6" s="7"/>
      <c r="M6" s="8"/>
      <c r="N6" s="2"/>
      <c r="O6" s="14" t="s">
        <v>94</v>
      </c>
      <c r="P6" s="9"/>
    </row>
    <row r="7" spans="1:18" ht="15.75" customHeight="1" x14ac:dyDescent="0.25">
      <c r="A7" s="6"/>
      <c r="B7" s="7"/>
      <c r="E7" s="17" t="s">
        <v>122</v>
      </c>
      <c r="F7" s="17" t="s">
        <v>123</v>
      </c>
      <c r="M7" s="8"/>
      <c r="N7" s="13"/>
      <c r="O7" s="14" t="s">
        <v>83</v>
      </c>
      <c r="P7" s="9"/>
    </row>
    <row r="8" spans="1:18" ht="15.75" customHeight="1" thickBot="1" x14ac:dyDescent="0.3">
      <c r="A8" s="793" t="s">
        <v>142</v>
      </c>
      <c r="B8" s="793"/>
      <c r="C8" s="793"/>
      <c r="D8" s="793"/>
      <c r="E8" s="343">
        <v>25</v>
      </c>
      <c r="F8" s="343">
        <v>10</v>
      </c>
      <c r="M8" s="10"/>
      <c r="N8" s="11"/>
      <c r="O8" s="11"/>
      <c r="P8" s="12"/>
    </row>
    <row r="9" spans="1:18" ht="15.75" customHeight="1" x14ac:dyDescent="0.25">
      <c r="A9" s="794" t="s">
        <v>136</v>
      </c>
      <c r="B9" s="795"/>
      <c r="C9" s="795"/>
      <c r="D9" s="796"/>
      <c r="E9" s="343">
        <v>10</v>
      </c>
      <c r="F9" s="343">
        <v>0</v>
      </c>
    </row>
    <row r="10" spans="1:18" ht="15" customHeight="1" x14ac:dyDescent="0.25">
      <c r="A10" s="7"/>
      <c r="B10" s="7"/>
      <c r="C10" s="7"/>
      <c r="D10" s="7"/>
    </row>
    <row r="11" spans="1:18" x14ac:dyDescent="0.25">
      <c r="A11" s="6" t="s">
        <v>719</v>
      </c>
      <c r="B11" s="7" t="s">
        <v>776</v>
      </c>
    </row>
    <row r="12" spans="1:18" x14ac:dyDescent="0.25">
      <c r="A12" s="6"/>
      <c r="B12" s="7"/>
    </row>
    <row r="13" spans="1:18" ht="15.75" x14ac:dyDescent="0.25">
      <c r="B13" s="800" t="s">
        <v>137</v>
      </c>
      <c r="C13" s="801"/>
      <c r="D13" s="347">
        <f>IF('2.1.c Insumos'!F72="","Preencher CIE em Dados de Insumo",'2.1.c Insumos'!F72*(IF('2.1.c Insumos'!F74="",(1-'A.IX.b. Deprec. garagem equip. '!F8/100),(1-'2.1.c Insumos'!F74/100)))/(('2.1.b Veículos'!D58*SUM('1.3 Frota Total'!C19:F25))))</f>
        <v>6.655896299483649E-2</v>
      </c>
      <c r="E13" s="15"/>
      <c r="G13" s="17" t="s">
        <v>137</v>
      </c>
      <c r="H13" s="344">
        <f>8.16/100</f>
        <v>8.1600000000000006E-2</v>
      </c>
      <c r="I13" s="39"/>
      <c r="R13" s="47"/>
    </row>
    <row r="15" spans="1:18" x14ac:dyDescent="0.25">
      <c r="A15" s="6" t="s">
        <v>720</v>
      </c>
      <c r="B15" s="7" t="s">
        <v>777</v>
      </c>
    </row>
    <row r="16" spans="1:18" x14ac:dyDescent="0.25">
      <c r="A16" s="6"/>
      <c r="B16" s="7"/>
    </row>
    <row r="17" spans="1:18" ht="15.75" x14ac:dyDescent="0.25">
      <c r="B17" s="802" t="s">
        <v>138</v>
      </c>
      <c r="C17" s="802"/>
      <c r="D17" s="347">
        <f>IF('2.1.c Insumos'!F75="","Preencher CIG em Dados de Insumo",'2.1.c Insumos'!F75*(IF('2.1.c Insumos'!F77="",(1-'A.IX.b. Deprec. garagem equip. '!F9/100),(1-'2.1.c Insumos'!F77/100)))/(('2.1.b Veículos'!D58*SUM('1.3 Frota Total'!C19:F25))))</f>
        <v>3.6752525458978773E-2</v>
      </c>
      <c r="E17" s="15"/>
      <c r="G17" s="17" t="s">
        <v>138</v>
      </c>
      <c r="H17" s="344">
        <f>2.74/100</f>
        <v>2.7400000000000001E-2</v>
      </c>
      <c r="I17" s="39"/>
    </row>
    <row r="19" spans="1:18" x14ac:dyDescent="0.25">
      <c r="A19" s="7" t="s">
        <v>721</v>
      </c>
      <c r="B19" s="7" t="s">
        <v>722</v>
      </c>
    </row>
    <row r="20" spans="1:18" x14ac:dyDescent="0.25">
      <c r="A20" s="7"/>
      <c r="B20" s="7"/>
    </row>
    <row r="21" spans="1:18" ht="15.75" x14ac:dyDescent="0.25">
      <c r="A21" s="793" t="s">
        <v>140</v>
      </c>
      <c r="B21" s="793"/>
      <c r="C21" s="793"/>
      <c r="D21" s="793"/>
      <c r="E21" s="17" t="s">
        <v>122</v>
      </c>
      <c r="F21" s="17" t="s">
        <v>123</v>
      </c>
    </row>
    <row r="22" spans="1:18" ht="16.5" customHeight="1" x14ac:dyDescent="0.25">
      <c r="A22" s="793"/>
      <c r="B22" s="793"/>
      <c r="C22" s="793"/>
      <c r="D22" s="793"/>
      <c r="E22" s="343">
        <v>5</v>
      </c>
      <c r="F22" s="343">
        <v>0</v>
      </c>
      <c r="H22" s="16"/>
    </row>
    <row r="23" spans="1:18" ht="16.5" customHeight="1" x14ac:dyDescent="0.25">
      <c r="A23" s="3"/>
      <c r="B23" s="3"/>
      <c r="C23" s="3"/>
      <c r="D23" s="3"/>
      <c r="E23" s="3"/>
      <c r="F23" s="3"/>
      <c r="H23" s="16"/>
    </row>
    <row r="24" spans="1:18" s="3" customFormat="1" ht="16.5" customHeight="1" x14ac:dyDescent="0.25">
      <c r="A24" s="7" t="s">
        <v>723</v>
      </c>
      <c r="B24" s="7" t="s">
        <v>778</v>
      </c>
      <c r="C24" s="4"/>
      <c r="D24" s="4"/>
      <c r="E24" s="4"/>
      <c r="F24" s="4"/>
    </row>
    <row r="25" spans="1:18" s="3" customFormat="1" ht="16.5" customHeight="1" x14ac:dyDescent="0.25">
      <c r="A25" s="7"/>
      <c r="B25" s="7"/>
      <c r="C25" s="4"/>
      <c r="D25" s="4"/>
      <c r="E25" s="4"/>
      <c r="F25" s="4"/>
    </row>
    <row r="26" spans="1:18" ht="15.75" x14ac:dyDescent="0.25">
      <c r="B26" s="802" t="s">
        <v>139</v>
      </c>
      <c r="C26" s="802"/>
      <c r="D26" s="347">
        <f>IF('2.1.c Insumos'!F78="","Preencher CEB em Dados de Insumo",'2.1.c Insumos'!F78*(IF('2.1.c Insumos'!F80="",(1-'A.IX.b. Deprec. garagem equip. '!F22/100),(1-'2.1.c Insumos'!F80/100)))/(('2.1.b Veículos'!D58*SUM('1.3 Frota Total'!C19:F25))))</f>
        <v>0</v>
      </c>
      <c r="G26" s="17" t="s">
        <v>139</v>
      </c>
      <c r="H26" s="344">
        <v>0.04</v>
      </c>
      <c r="I26" s="39"/>
      <c r="R26" s="47"/>
    </row>
    <row r="28" spans="1:18" x14ac:dyDescent="0.25">
      <c r="A28" s="7" t="s">
        <v>724</v>
      </c>
      <c r="B28" s="7" t="s">
        <v>414</v>
      </c>
      <c r="R28" s="47"/>
    </row>
    <row r="29" spans="1:18" x14ac:dyDescent="0.25">
      <c r="A29" s="7"/>
      <c r="B29" s="7"/>
    </row>
    <row r="30" spans="1:18" ht="15.75" customHeight="1" x14ac:dyDescent="0.25">
      <c r="A30" s="797" t="s">
        <v>141</v>
      </c>
      <c r="B30" s="798"/>
      <c r="C30" s="798"/>
      <c r="D30" s="799"/>
      <c r="E30" s="17" t="s">
        <v>122</v>
      </c>
      <c r="F30" s="17" t="s">
        <v>415</v>
      </c>
    </row>
    <row r="31" spans="1:18" x14ac:dyDescent="0.25">
      <c r="A31" s="709" t="s">
        <v>408</v>
      </c>
      <c r="B31" s="709"/>
      <c r="C31" s="709"/>
      <c r="D31" s="709"/>
      <c r="E31" s="345">
        <v>15</v>
      </c>
      <c r="F31" s="346">
        <v>0.1</v>
      </c>
    </row>
    <row r="32" spans="1:18" x14ac:dyDescent="0.25">
      <c r="A32" s="709" t="s">
        <v>409</v>
      </c>
      <c r="B32" s="709"/>
      <c r="C32" s="709"/>
      <c r="D32" s="709"/>
      <c r="E32" s="345">
        <v>15</v>
      </c>
      <c r="F32" s="346">
        <v>0.1</v>
      </c>
    </row>
    <row r="33" spans="1:6" x14ac:dyDescent="0.25">
      <c r="A33" s="709" t="s">
        <v>410</v>
      </c>
      <c r="B33" s="709"/>
      <c r="C33" s="709"/>
      <c r="D33" s="709"/>
      <c r="E33" s="345">
        <v>8</v>
      </c>
      <c r="F33" s="346">
        <v>0.15</v>
      </c>
    </row>
    <row r="34" spans="1:6" x14ac:dyDescent="0.25">
      <c r="A34" s="709" t="s">
        <v>411</v>
      </c>
      <c r="B34" s="709"/>
      <c r="C34" s="709"/>
      <c r="D34" s="709"/>
      <c r="E34" s="345">
        <v>5</v>
      </c>
      <c r="F34" s="346">
        <v>0.2</v>
      </c>
    </row>
    <row r="35" spans="1:6" x14ac:dyDescent="0.25">
      <c r="A35" s="709" t="s">
        <v>412</v>
      </c>
      <c r="B35" s="709"/>
      <c r="C35" s="709"/>
      <c r="D35" s="709"/>
      <c r="E35" s="345">
        <v>5</v>
      </c>
      <c r="F35" s="346">
        <v>0.2</v>
      </c>
    </row>
  </sheetData>
  <sheetProtection password="E299" sheet="1"/>
  <mergeCells count="13">
    <mergeCell ref="A32:D32"/>
    <mergeCell ref="A33:D33"/>
    <mergeCell ref="A34:D34"/>
    <mergeCell ref="A35:D35"/>
    <mergeCell ref="B13:C13"/>
    <mergeCell ref="B17:C17"/>
    <mergeCell ref="B26:C26"/>
    <mergeCell ref="A21:D22"/>
    <mergeCell ref="M3:P3"/>
    <mergeCell ref="A8:D8"/>
    <mergeCell ref="A9:D9"/>
    <mergeCell ref="A30:D30"/>
    <mergeCell ref="A31:D31"/>
  </mergeCells>
  <pageMargins left="3.937007874015748E-2" right="3.937007874015748E-2" top="0.74803149606299213" bottom="0.74803149606299213" header="0.31496062992125984" footer="0.31496062992125984"/>
  <pageSetup paperSize="9" scale="70" orientation="landscape"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4">
    <tabColor theme="6" tint="0.39997558519241921"/>
  </sheetPr>
  <dimension ref="A1:O270"/>
  <sheetViews>
    <sheetView showGridLines="0" topLeftCell="A4" workbookViewId="0">
      <selection activeCell="H10" sqref="H10"/>
    </sheetView>
  </sheetViews>
  <sheetFormatPr defaultColWidth="11.42578125" defaultRowHeight="15" x14ac:dyDescent="0.25"/>
  <cols>
    <col min="1" max="1" width="5.5703125" style="59" bestFit="1" customWidth="1"/>
    <col min="2" max="2" width="2.7109375" style="59" customWidth="1"/>
    <col min="3" max="3" width="3.5703125" style="59" bestFit="1" customWidth="1"/>
    <col min="4" max="4" width="21" style="59" customWidth="1"/>
    <col min="5" max="5" width="15.7109375" style="59" bestFit="1" customWidth="1"/>
    <col min="6" max="6" width="26.7109375" style="59" bestFit="1" customWidth="1"/>
    <col min="7" max="7" width="26.85546875" style="59" bestFit="1" customWidth="1"/>
    <col min="8" max="8" width="26.7109375" style="59" bestFit="1" customWidth="1"/>
    <col min="9" max="9" width="26.85546875" style="59" bestFit="1" customWidth="1"/>
    <col min="10" max="10" width="8.28515625" style="348" bestFit="1" customWidth="1"/>
    <col min="11" max="11" width="11.42578125" style="59" customWidth="1"/>
    <col min="12" max="12" width="2" style="59" customWidth="1"/>
    <col min="13" max="13" width="11.42578125" style="59" customWidth="1"/>
    <col min="14" max="14" width="42.5703125" style="59" bestFit="1" customWidth="1"/>
    <col min="15" max="15" width="1.85546875" style="59" customWidth="1"/>
    <col min="16" max="16384" width="11.42578125" style="59"/>
  </cols>
  <sheetData>
    <row r="1" spans="1:15" x14ac:dyDescent="0.25">
      <c r="A1" s="107" t="s">
        <v>725</v>
      </c>
    </row>
    <row r="3" spans="1:15" x14ac:dyDescent="0.25">
      <c r="A3" s="115" t="s">
        <v>727</v>
      </c>
      <c r="B3" s="78" t="s">
        <v>726</v>
      </c>
      <c r="C3" s="78"/>
    </row>
    <row r="5" spans="1:15" ht="15.75" thickBot="1" x14ac:dyDescent="0.3">
      <c r="A5" s="115" t="s">
        <v>728</v>
      </c>
      <c r="B5" s="78" t="s">
        <v>121</v>
      </c>
    </row>
    <row r="6" spans="1:15" ht="15.75" thickBot="1" x14ac:dyDescent="0.3">
      <c r="A6" s="702" t="s">
        <v>8</v>
      </c>
      <c r="B6" s="703"/>
      <c r="C6" s="703"/>
      <c r="D6" s="703"/>
      <c r="E6" s="699" t="s">
        <v>122</v>
      </c>
      <c r="F6" s="702" t="s">
        <v>123</v>
      </c>
      <c r="L6" s="537" t="s">
        <v>84</v>
      </c>
      <c r="M6" s="538"/>
      <c r="N6" s="538"/>
      <c r="O6" s="539"/>
    </row>
    <row r="7" spans="1:15" x14ac:dyDescent="0.25">
      <c r="A7" s="705"/>
      <c r="B7" s="706"/>
      <c r="C7" s="706"/>
      <c r="D7" s="706"/>
      <c r="E7" s="699"/>
      <c r="F7" s="681"/>
      <c r="L7" s="62"/>
      <c r="M7" s="63"/>
      <c r="N7" s="63"/>
      <c r="O7" s="64"/>
    </row>
    <row r="8" spans="1:15" ht="15" customHeight="1" x14ac:dyDescent="0.25">
      <c r="A8" s="672" t="s">
        <v>11</v>
      </c>
      <c r="B8" s="673"/>
      <c r="C8" s="673"/>
      <c r="D8" s="673"/>
      <c r="E8" s="341">
        <v>10</v>
      </c>
      <c r="F8" s="342">
        <v>0.1</v>
      </c>
      <c r="G8" s="83"/>
      <c r="L8" s="65"/>
      <c r="M8" s="66"/>
      <c r="N8" s="67" t="s">
        <v>82</v>
      </c>
      <c r="O8" s="68"/>
    </row>
    <row r="9" spans="1:15" x14ac:dyDescent="0.25">
      <c r="A9" s="672" t="s">
        <v>12</v>
      </c>
      <c r="B9" s="673"/>
      <c r="C9" s="673"/>
      <c r="D9" s="673"/>
      <c r="E9" s="341">
        <v>10</v>
      </c>
      <c r="F9" s="342">
        <v>0.1</v>
      </c>
      <c r="G9" s="83"/>
      <c r="L9" s="65"/>
      <c r="M9" s="71"/>
      <c r="N9" s="67" t="s">
        <v>94</v>
      </c>
      <c r="O9" s="68"/>
    </row>
    <row r="10" spans="1:15" ht="15" customHeight="1" x14ac:dyDescent="0.25">
      <c r="A10" s="672" t="s">
        <v>13</v>
      </c>
      <c r="B10" s="673"/>
      <c r="C10" s="673"/>
      <c r="D10" s="673"/>
      <c r="E10" s="341">
        <v>10</v>
      </c>
      <c r="F10" s="342">
        <v>0.1</v>
      </c>
      <c r="G10" s="83"/>
      <c r="L10" s="65"/>
      <c r="M10" s="72"/>
      <c r="N10" s="67" t="s">
        <v>83</v>
      </c>
      <c r="O10" s="68"/>
    </row>
    <row r="11" spans="1:15" ht="15.75" thickBot="1" x14ac:dyDescent="0.3">
      <c r="A11" s="672" t="s">
        <v>14</v>
      </c>
      <c r="B11" s="673"/>
      <c r="C11" s="673"/>
      <c r="D11" s="673"/>
      <c r="E11" s="341">
        <v>10</v>
      </c>
      <c r="F11" s="342">
        <v>0.1</v>
      </c>
      <c r="G11" s="83"/>
      <c r="L11" s="73"/>
      <c r="M11" s="74"/>
      <c r="N11" s="74"/>
      <c r="O11" s="75"/>
    </row>
    <row r="12" spans="1:15" ht="15" customHeight="1" x14ac:dyDescent="0.25">
      <c r="A12" s="672" t="s">
        <v>15</v>
      </c>
      <c r="B12" s="673"/>
      <c r="C12" s="673"/>
      <c r="D12" s="673"/>
      <c r="E12" s="341">
        <v>10</v>
      </c>
      <c r="F12" s="342">
        <v>0.1</v>
      </c>
      <c r="G12" s="83"/>
    </row>
    <row r="13" spans="1:15" x14ac:dyDescent="0.25">
      <c r="A13" s="672" t="s">
        <v>16</v>
      </c>
      <c r="B13" s="673"/>
      <c r="C13" s="673"/>
      <c r="D13" s="673"/>
      <c r="E13" s="341">
        <v>10</v>
      </c>
      <c r="F13" s="342">
        <v>0.05</v>
      </c>
      <c r="G13" s="83"/>
    </row>
    <row r="14" spans="1:15" x14ac:dyDescent="0.25">
      <c r="A14" s="672" t="s">
        <v>17</v>
      </c>
      <c r="B14" s="673"/>
      <c r="C14" s="673"/>
      <c r="D14" s="673"/>
      <c r="E14" s="341">
        <v>10</v>
      </c>
      <c r="F14" s="342">
        <v>0.05</v>
      </c>
      <c r="G14" s="83"/>
    </row>
    <row r="15" spans="1:15" x14ac:dyDescent="0.25">
      <c r="A15" s="299"/>
      <c r="B15" s="299"/>
      <c r="C15" s="299"/>
      <c r="D15" s="299"/>
      <c r="E15" s="300"/>
      <c r="F15" s="301"/>
      <c r="G15" s="302"/>
      <c r="J15" s="349"/>
    </row>
    <row r="16" spans="1:15" ht="15.75" thickBot="1" x14ac:dyDescent="0.3">
      <c r="A16" s="115" t="s">
        <v>729</v>
      </c>
      <c r="B16" s="78" t="s">
        <v>130</v>
      </c>
    </row>
    <row r="17" spans="1:13" ht="15" customHeight="1" x14ac:dyDescent="0.25">
      <c r="A17" s="829" t="s">
        <v>8</v>
      </c>
      <c r="B17" s="829"/>
      <c r="C17" s="829"/>
      <c r="D17" s="829"/>
      <c r="E17" s="753" t="s">
        <v>120</v>
      </c>
      <c r="F17" s="827" t="s">
        <v>6</v>
      </c>
      <c r="G17" s="828"/>
      <c r="H17" s="827" t="s">
        <v>7</v>
      </c>
      <c r="I17" s="828"/>
      <c r="J17" s="825" t="s">
        <v>267</v>
      </c>
    </row>
    <row r="18" spans="1:13" ht="15.75" thickBot="1" x14ac:dyDescent="0.3">
      <c r="A18" s="753"/>
      <c r="B18" s="753"/>
      <c r="C18" s="753"/>
      <c r="D18" s="753"/>
      <c r="E18" s="735"/>
      <c r="F18" s="307" t="s">
        <v>9</v>
      </c>
      <c r="G18" s="307" t="s">
        <v>10</v>
      </c>
      <c r="H18" s="307" t="s">
        <v>9</v>
      </c>
      <c r="I18" s="307" t="s">
        <v>10</v>
      </c>
      <c r="J18" s="826"/>
    </row>
    <row r="19" spans="1:13" x14ac:dyDescent="0.25">
      <c r="A19" s="738" t="s">
        <v>129</v>
      </c>
      <c r="B19" s="739"/>
      <c r="C19" s="739"/>
      <c r="D19" s="740"/>
      <c r="E19" s="309">
        <v>0</v>
      </c>
      <c r="F19" s="310">
        <f>'1.3 Frota Total'!E31</f>
        <v>0</v>
      </c>
      <c r="G19" s="310">
        <f>'1.3 Frota Total'!F31</f>
        <v>0</v>
      </c>
      <c r="H19" s="310">
        <f>'1.3 Frota Total'!G31</f>
        <v>0</v>
      </c>
      <c r="I19" s="350">
        <f>'1.3 Frota Total'!H31</f>
        <v>0</v>
      </c>
      <c r="J19" s="507">
        <v>1</v>
      </c>
    </row>
    <row r="20" spans="1:13" x14ac:dyDescent="0.25">
      <c r="A20" s="741"/>
      <c r="B20" s="742"/>
      <c r="C20" s="742"/>
      <c r="D20" s="743"/>
      <c r="E20" s="312">
        <v>1</v>
      </c>
      <c r="F20" s="313">
        <f>'1.3 Frota Total'!E32</f>
        <v>0</v>
      </c>
      <c r="G20" s="313">
        <f>'1.3 Frota Total'!F32</f>
        <v>0</v>
      </c>
      <c r="H20" s="313">
        <f>'1.3 Frota Total'!G32</f>
        <v>0</v>
      </c>
      <c r="I20" s="351">
        <f>'1.3 Frota Total'!H32</f>
        <v>0</v>
      </c>
      <c r="J20" s="508">
        <f>1-'A.IX.a. Deprec. veículos'!D19</f>
        <v>0.83636363636363642</v>
      </c>
      <c r="M20" s="352"/>
    </row>
    <row r="21" spans="1:13" x14ac:dyDescent="0.25">
      <c r="A21" s="741"/>
      <c r="B21" s="742"/>
      <c r="C21" s="742"/>
      <c r="D21" s="743"/>
      <c r="E21" s="312">
        <v>2</v>
      </c>
      <c r="F21" s="313">
        <f>'1.3 Frota Total'!E33</f>
        <v>0</v>
      </c>
      <c r="G21" s="313">
        <f>'1.3 Frota Total'!F33</f>
        <v>0</v>
      </c>
      <c r="H21" s="313">
        <f>'1.3 Frota Total'!G33</f>
        <v>0</v>
      </c>
      <c r="I21" s="351">
        <f>'1.3 Frota Total'!H33</f>
        <v>0</v>
      </c>
      <c r="J21" s="508">
        <f>1-SUM('A.IX.a. Deprec. veículos'!$D$19:D20)</f>
        <v>0.68909090909090909</v>
      </c>
      <c r="M21" s="352"/>
    </row>
    <row r="22" spans="1:13" x14ac:dyDescent="0.25">
      <c r="A22" s="741"/>
      <c r="B22" s="742"/>
      <c r="C22" s="742"/>
      <c r="D22" s="743"/>
      <c r="E22" s="312">
        <v>3</v>
      </c>
      <c r="F22" s="313">
        <f>'1.3 Frota Total'!E34</f>
        <v>0</v>
      </c>
      <c r="G22" s="313">
        <f>'1.3 Frota Total'!F34</f>
        <v>0</v>
      </c>
      <c r="H22" s="313">
        <f>'1.3 Frota Total'!G34</f>
        <v>0</v>
      </c>
      <c r="I22" s="351">
        <f>'1.3 Frota Total'!H34</f>
        <v>0</v>
      </c>
      <c r="J22" s="508">
        <f>1-SUM('A.IX.a. Deprec. veículos'!$D$19:D21)</f>
        <v>0.55818181818181811</v>
      </c>
      <c r="L22" s="110"/>
      <c r="M22" s="352"/>
    </row>
    <row r="23" spans="1:13" x14ac:dyDescent="0.25">
      <c r="A23" s="741"/>
      <c r="B23" s="742"/>
      <c r="C23" s="742"/>
      <c r="D23" s="743"/>
      <c r="E23" s="312">
        <v>4</v>
      </c>
      <c r="F23" s="313">
        <f>'1.3 Frota Total'!E35</f>
        <v>0</v>
      </c>
      <c r="G23" s="313">
        <f>'1.3 Frota Total'!F35</f>
        <v>0</v>
      </c>
      <c r="H23" s="313">
        <f>'1.3 Frota Total'!G35</f>
        <v>0</v>
      </c>
      <c r="I23" s="351">
        <f>'1.3 Frota Total'!H35</f>
        <v>0</v>
      </c>
      <c r="J23" s="508">
        <f>1-SUM('A.IX.a. Deprec. veículos'!$D$19:D22)</f>
        <v>0.44363636363636361</v>
      </c>
      <c r="M23" s="352"/>
    </row>
    <row r="24" spans="1:13" x14ac:dyDescent="0.25">
      <c r="A24" s="741"/>
      <c r="B24" s="742"/>
      <c r="C24" s="742"/>
      <c r="D24" s="743"/>
      <c r="E24" s="312">
        <v>5</v>
      </c>
      <c r="F24" s="313">
        <f>'1.3 Frota Total'!E36</f>
        <v>11</v>
      </c>
      <c r="G24" s="313">
        <f>'1.3 Frota Total'!F36</f>
        <v>0</v>
      </c>
      <c r="H24" s="313">
        <f>'1.3 Frota Total'!G36</f>
        <v>0</v>
      </c>
      <c r="I24" s="351">
        <f>'1.3 Frota Total'!H36</f>
        <v>0</v>
      </c>
      <c r="J24" s="508">
        <f>1-SUM('A.IX.a. Deprec. veículos'!$D$19:D23)</f>
        <v>0.34545454545454546</v>
      </c>
    </row>
    <row r="25" spans="1:13" x14ac:dyDescent="0.25">
      <c r="A25" s="741"/>
      <c r="B25" s="742"/>
      <c r="C25" s="742"/>
      <c r="D25" s="743"/>
      <c r="E25" s="312">
        <v>6</v>
      </c>
      <c r="F25" s="313">
        <f>'1.3 Frota Total'!E37</f>
        <v>0</v>
      </c>
      <c r="G25" s="313">
        <f>'1.3 Frota Total'!F37</f>
        <v>0</v>
      </c>
      <c r="H25" s="313">
        <f>'1.3 Frota Total'!G37</f>
        <v>0</v>
      </c>
      <c r="I25" s="351">
        <f>'1.3 Frota Total'!H37</f>
        <v>0</v>
      </c>
      <c r="J25" s="508">
        <f>1-SUM('A.IX.a. Deprec. veículos'!$D$19:D24)</f>
        <v>0.26363636363636367</v>
      </c>
    </row>
    <row r="26" spans="1:13" x14ac:dyDescent="0.25">
      <c r="A26" s="741"/>
      <c r="B26" s="742"/>
      <c r="C26" s="742"/>
      <c r="D26" s="743"/>
      <c r="E26" s="312">
        <v>7</v>
      </c>
      <c r="F26" s="313">
        <f>'1.3 Frota Total'!E38</f>
        <v>0</v>
      </c>
      <c r="G26" s="313">
        <f>'1.3 Frota Total'!F38</f>
        <v>0</v>
      </c>
      <c r="H26" s="313">
        <f>'1.3 Frota Total'!G38</f>
        <v>0</v>
      </c>
      <c r="I26" s="351">
        <f>'1.3 Frota Total'!H38</f>
        <v>0</v>
      </c>
      <c r="J26" s="508">
        <f>1-SUM('A.IX.a. Deprec. veículos'!$D$19:D25)</f>
        <v>0.19818181818181824</v>
      </c>
    </row>
    <row r="27" spans="1:13" x14ac:dyDescent="0.25">
      <c r="A27" s="741"/>
      <c r="B27" s="742"/>
      <c r="C27" s="742"/>
      <c r="D27" s="743"/>
      <c r="E27" s="312">
        <v>8</v>
      </c>
      <c r="F27" s="313">
        <f>'1.3 Frota Total'!E39</f>
        <v>0</v>
      </c>
      <c r="G27" s="313">
        <f>'1.3 Frota Total'!F39</f>
        <v>0</v>
      </c>
      <c r="H27" s="313">
        <f>'1.3 Frota Total'!G39</f>
        <v>0</v>
      </c>
      <c r="I27" s="351">
        <f>'1.3 Frota Total'!H39</f>
        <v>0</v>
      </c>
      <c r="J27" s="508">
        <f>1-SUM('A.IX.a. Deprec. veículos'!$D$19:D26)</f>
        <v>0.14909090909090916</v>
      </c>
    </row>
    <row r="28" spans="1:13" x14ac:dyDescent="0.25">
      <c r="A28" s="741"/>
      <c r="B28" s="742"/>
      <c r="C28" s="742"/>
      <c r="D28" s="743"/>
      <c r="E28" s="312">
        <v>9</v>
      </c>
      <c r="F28" s="313">
        <f>'1.3 Frota Total'!E40</f>
        <v>0</v>
      </c>
      <c r="G28" s="313">
        <f>'1.3 Frota Total'!F40</f>
        <v>0</v>
      </c>
      <c r="H28" s="313">
        <f>'1.3 Frota Total'!G40</f>
        <v>0</v>
      </c>
      <c r="I28" s="351">
        <f>'1.3 Frota Total'!H40</f>
        <v>0</v>
      </c>
      <c r="J28" s="508">
        <f>1-SUM('A.IX.a. Deprec. veículos'!$D$19:D27)</f>
        <v>0.11636363636363645</v>
      </c>
    </row>
    <row r="29" spans="1:13" ht="15.75" thickBot="1" x14ac:dyDescent="0.3">
      <c r="A29" s="744"/>
      <c r="B29" s="745"/>
      <c r="C29" s="745"/>
      <c r="D29" s="746"/>
      <c r="E29" s="312">
        <v>10</v>
      </c>
      <c r="F29" s="313">
        <f>'1.3 Frota Total'!E41</f>
        <v>0</v>
      </c>
      <c r="G29" s="313">
        <f>'1.3 Frota Total'!F41</f>
        <v>0</v>
      </c>
      <c r="H29" s="313">
        <f>'1.3 Frota Total'!G41</f>
        <v>0</v>
      </c>
      <c r="I29" s="351">
        <f>'1.3 Frota Total'!H41</f>
        <v>0</v>
      </c>
      <c r="J29" s="508">
        <f>1-SUM('A.IX.a. Deprec. veículos'!$D$19:D28)</f>
        <v>0.10000000000000009</v>
      </c>
    </row>
    <row r="30" spans="1:13" x14ac:dyDescent="0.25">
      <c r="A30" s="738" t="s">
        <v>12</v>
      </c>
      <c r="B30" s="739"/>
      <c r="C30" s="739"/>
      <c r="D30" s="740"/>
      <c r="E30" s="309">
        <v>0</v>
      </c>
      <c r="F30" s="310">
        <f>'1.3 Frota Total'!E42</f>
        <v>0</v>
      </c>
      <c r="G30" s="310">
        <f>'1.3 Frota Total'!F42</f>
        <v>0</v>
      </c>
      <c r="H30" s="310">
        <f>'1.3 Frota Total'!G42</f>
        <v>0</v>
      </c>
      <c r="I30" s="311">
        <f>'1.3 Frota Total'!H42</f>
        <v>0</v>
      </c>
      <c r="J30" s="507">
        <v>1</v>
      </c>
    </row>
    <row r="31" spans="1:13" x14ac:dyDescent="0.25">
      <c r="A31" s="741"/>
      <c r="B31" s="742"/>
      <c r="C31" s="742"/>
      <c r="D31" s="743"/>
      <c r="E31" s="312">
        <v>1</v>
      </c>
      <c r="F31" s="313">
        <f>'1.3 Frota Total'!E43</f>
        <v>0</v>
      </c>
      <c r="G31" s="313">
        <f>'1.3 Frota Total'!F43</f>
        <v>0</v>
      </c>
      <c r="H31" s="313">
        <f>'1.3 Frota Total'!G43</f>
        <v>0</v>
      </c>
      <c r="I31" s="314">
        <f>'1.3 Frota Total'!H43</f>
        <v>0</v>
      </c>
      <c r="J31" s="508">
        <f>1-'A.IX.a. Deprec. veículos'!D19</f>
        <v>0.83636363636363642</v>
      </c>
      <c r="M31" s="352"/>
    </row>
    <row r="32" spans="1:13" x14ac:dyDescent="0.25">
      <c r="A32" s="741"/>
      <c r="B32" s="742"/>
      <c r="C32" s="742"/>
      <c r="D32" s="743"/>
      <c r="E32" s="312">
        <v>2</v>
      </c>
      <c r="F32" s="313">
        <f>'1.3 Frota Total'!E44</f>
        <v>0</v>
      </c>
      <c r="G32" s="313">
        <f>'1.3 Frota Total'!F44</f>
        <v>0</v>
      </c>
      <c r="H32" s="313">
        <f>'1.3 Frota Total'!G44</f>
        <v>0</v>
      </c>
      <c r="I32" s="314">
        <f>'1.3 Frota Total'!H44</f>
        <v>0</v>
      </c>
      <c r="J32" s="508">
        <f>1-SUM('A.IX.a. Deprec. veículos'!D19:D20)</f>
        <v>0.68909090909090909</v>
      </c>
      <c r="M32" s="352"/>
    </row>
    <row r="33" spans="1:13" x14ac:dyDescent="0.25">
      <c r="A33" s="741"/>
      <c r="B33" s="742"/>
      <c r="C33" s="742"/>
      <c r="D33" s="743"/>
      <c r="E33" s="312">
        <v>3</v>
      </c>
      <c r="F33" s="313">
        <f>'1.3 Frota Total'!E45</f>
        <v>0</v>
      </c>
      <c r="G33" s="313">
        <f>'1.3 Frota Total'!F45</f>
        <v>0</v>
      </c>
      <c r="H33" s="313">
        <f>'1.3 Frota Total'!G45</f>
        <v>0</v>
      </c>
      <c r="I33" s="314">
        <f>'1.3 Frota Total'!H45</f>
        <v>0</v>
      </c>
      <c r="J33" s="508">
        <f>1-SUM('A.IX.a. Deprec. veículos'!D19:D21)</f>
        <v>0.55818181818181811</v>
      </c>
      <c r="M33" s="352"/>
    </row>
    <row r="34" spans="1:13" x14ac:dyDescent="0.25">
      <c r="A34" s="741"/>
      <c r="B34" s="742"/>
      <c r="C34" s="742"/>
      <c r="D34" s="743"/>
      <c r="E34" s="312">
        <v>4</v>
      </c>
      <c r="F34" s="313">
        <f>'1.3 Frota Total'!E46</f>
        <v>0</v>
      </c>
      <c r="G34" s="313">
        <f>'1.3 Frota Total'!F46</f>
        <v>0</v>
      </c>
      <c r="H34" s="313">
        <f>'1.3 Frota Total'!G46</f>
        <v>0</v>
      </c>
      <c r="I34" s="314">
        <f>'1.3 Frota Total'!H46</f>
        <v>0</v>
      </c>
      <c r="J34" s="508">
        <f>1-SUM('A.IX.a. Deprec. veículos'!D19:D22)</f>
        <v>0.44363636363636361</v>
      </c>
      <c r="M34" s="352"/>
    </row>
    <row r="35" spans="1:13" ht="15.75" thickBot="1" x14ac:dyDescent="0.3">
      <c r="A35" s="744"/>
      <c r="B35" s="745"/>
      <c r="C35" s="745"/>
      <c r="D35" s="746"/>
      <c r="E35" s="315">
        <v>5</v>
      </c>
      <c r="F35" s="316">
        <f>'1.3 Frota Total'!E47</f>
        <v>0</v>
      </c>
      <c r="G35" s="316">
        <f>'1.3 Frota Total'!F47</f>
        <v>0</v>
      </c>
      <c r="H35" s="316">
        <f>'1.3 Frota Total'!G47</f>
        <v>0</v>
      </c>
      <c r="I35" s="317">
        <f>'1.3 Frota Total'!H47</f>
        <v>0</v>
      </c>
      <c r="J35" s="509">
        <f>1-SUM('A.IX.a. Deprec. veículos'!D19:D23)</f>
        <v>0.34545454545454546</v>
      </c>
    </row>
    <row r="36" spans="1:13" x14ac:dyDescent="0.25">
      <c r="A36" s="738" t="s">
        <v>13</v>
      </c>
      <c r="B36" s="739"/>
      <c r="C36" s="739"/>
      <c r="D36" s="740"/>
      <c r="E36" s="321">
        <v>0</v>
      </c>
      <c r="F36" s="322">
        <f>'1.3 Frota Total'!E48</f>
        <v>0</v>
      </c>
      <c r="G36" s="322">
        <f>'1.3 Frota Total'!F48</f>
        <v>0</v>
      </c>
      <c r="H36" s="322">
        <f>'1.3 Frota Total'!G48</f>
        <v>0</v>
      </c>
      <c r="I36" s="323">
        <f>'1.3 Frota Total'!H48</f>
        <v>0</v>
      </c>
      <c r="J36" s="510">
        <v>1</v>
      </c>
    </row>
    <row r="37" spans="1:13" x14ac:dyDescent="0.25">
      <c r="A37" s="741"/>
      <c r="B37" s="742"/>
      <c r="C37" s="742"/>
      <c r="D37" s="743"/>
      <c r="E37" s="312">
        <v>1</v>
      </c>
      <c r="F37" s="313">
        <f>'1.3 Frota Total'!E49</f>
        <v>0</v>
      </c>
      <c r="G37" s="313">
        <f>'1.3 Frota Total'!F49</f>
        <v>0</v>
      </c>
      <c r="H37" s="313">
        <f>'1.3 Frota Total'!G49</f>
        <v>0</v>
      </c>
      <c r="I37" s="314">
        <f>'1.3 Frota Total'!H49</f>
        <v>0</v>
      </c>
      <c r="J37" s="508">
        <f>1-'A.IX.a. Deprec. veículos'!E19</f>
        <v>0.83636363636363642</v>
      </c>
    </row>
    <row r="38" spans="1:13" x14ac:dyDescent="0.25">
      <c r="A38" s="741"/>
      <c r="B38" s="742"/>
      <c r="C38" s="742"/>
      <c r="D38" s="743"/>
      <c r="E38" s="312">
        <v>2</v>
      </c>
      <c r="F38" s="313">
        <f>'1.3 Frota Total'!E50</f>
        <v>0</v>
      </c>
      <c r="G38" s="313">
        <f>'1.3 Frota Total'!F50</f>
        <v>0</v>
      </c>
      <c r="H38" s="313">
        <f>'1.3 Frota Total'!G50</f>
        <v>0</v>
      </c>
      <c r="I38" s="314">
        <f>'1.3 Frota Total'!H50</f>
        <v>0</v>
      </c>
      <c r="J38" s="508">
        <f>1-SUM('A.IX.a. Deprec. veículos'!$E$19:E20)</f>
        <v>0.68909090909090909</v>
      </c>
    </row>
    <row r="39" spans="1:13" x14ac:dyDescent="0.25">
      <c r="A39" s="741"/>
      <c r="B39" s="742"/>
      <c r="C39" s="742"/>
      <c r="D39" s="743"/>
      <c r="E39" s="312">
        <v>3</v>
      </c>
      <c r="F39" s="313">
        <f>'1.3 Frota Total'!E51</f>
        <v>0</v>
      </c>
      <c r="G39" s="313">
        <f>'1.3 Frota Total'!F51</f>
        <v>0</v>
      </c>
      <c r="H39" s="313">
        <f>'1.3 Frota Total'!G51</f>
        <v>0</v>
      </c>
      <c r="I39" s="314">
        <f>'1.3 Frota Total'!H51</f>
        <v>0</v>
      </c>
      <c r="J39" s="508">
        <f>1-SUM('A.IX.a. Deprec. veículos'!$E$19:E21)</f>
        <v>0.55818181818181811</v>
      </c>
    </row>
    <row r="40" spans="1:13" x14ac:dyDescent="0.25">
      <c r="A40" s="741"/>
      <c r="B40" s="742"/>
      <c r="C40" s="742"/>
      <c r="D40" s="743"/>
      <c r="E40" s="312">
        <v>4</v>
      </c>
      <c r="F40" s="313">
        <f>'1.3 Frota Total'!E52</f>
        <v>0</v>
      </c>
      <c r="G40" s="313">
        <f>'1.3 Frota Total'!F52</f>
        <v>0</v>
      </c>
      <c r="H40" s="313">
        <f>'1.3 Frota Total'!G52</f>
        <v>0</v>
      </c>
      <c r="I40" s="314">
        <f>'1.3 Frota Total'!H52</f>
        <v>0</v>
      </c>
      <c r="J40" s="508">
        <f>1-SUM('A.IX.a. Deprec. veículos'!$E$19:E22)</f>
        <v>0.44363636363636361</v>
      </c>
    </row>
    <row r="41" spans="1:13" x14ac:dyDescent="0.25">
      <c r="A41" s="741"/>
      <c r="B41" s="742"/>
      <c r="C41" s="742"/>
      <c r="D41" s="743"/>
      <c r="E41" s="312">
        <v>5</v>
      </c>
      <c r="F41" s="313">
        <f>'1.3 Frota Total'!E53</f>
        <v>13</v>
      </c>
      <c r="G41" s="313">
        <f>'1.3 Frota Total'!F53</f>
        <v>0</v>
      </c>
      <c r="H41" s="313">
        <f>'1.3 Frota Total'!G53</f>
        <v>13</v>
      </c>
      <c r="I41" s="314">
        <f>'1.3 Frota Total'!H53</f>
        <v>0</v>
      </c>
      <c r="J41" s="508">
        <f>1-SUM('A.IX.a. Deprec. veículos'!$E$19:E23)</f>
        <v>0.34545454545454546</v>
      </c>
    </row>
    <row r="42" spans="1:13" x14ac:dyDescent="0.25">
      <c r="A42" s="741"/>
      <c r="B42" s="742"/>
      <c r="C42" s="742"/>
      <c r="D42" s="743"/>
      <c r="E42" s="312">
        <v>6</v>
      </c>
      <c r="F42" s="313">
        <f>'1.3 Frota Total'!E54</f>
        <v>0</v>
      </c>
      <c r="G42" s="313">
        <f>'1.3 Frota Total'!F54</f>
        <v>0</v>
      </c>
      <c r="H42" s="313">
        <f>'1.3 Frota Total'!G54</f>
        <v>0</v>
      </c>
      <c r="I42" s="314">
        <f>'1.3 Frota Total'!H54</f>
        <v>0</v>
      </c>
      <c r="J42" s="508">
        <f>1-SUM('A.IX.a. Deprec. veículos'!$E$19:E24)</f>
        <v>0.26363636363636367</v>
      </c>
    </row>
    <row r="43" spans="1:13" x14ac:dyDescent="0.25">
      <c r="A43" s="741"/>
      <c r="B43" s="742"/>
      <c r="C43" s="742"/>
      <c r="D43" s="743"/>
      <c r="E43" s="312">
        <v>7</v>
      </c>
      <c r="F43" s="313">
        <f>'1.3 Frota Total'!E55</f>
        <v>0</v>
      </c>
      <c r="G43" s="313">
        <f>'1.3 Frota Total'!F55</f>
        <v>0</v>
      </c>
      <c r="H43" s="313">
        <f>'1.3 Frota Total'!G55</f>
        <v>0</v>
      </c>
      <c r="I43" s="314">
        <f>'1.3 Frota Total'!H55</f>
        <v>0</v>
      </c>
      <c r="J43" s="508">
        <f>1-SUM('A.IX.a. Deprec. veículos'!$E$19:E25)</f>
        <v>0.19818181818181824</v>
      </c>
    </row>
    <row r="44" spans="1:13" x14ac:dyDescent="0.25">
      <c r="A44" s="741"/>
      <c r="B44" s="742"/>
      <c r="C44" s="742"/>
      <c r="D44" s="743"/>
      <c r="E44" s="312">
        <v>8</v>
      </c>
      <c r="F44" s="313">
        <f>'1.3 Frota Total'!E56</f>
        <v>0</v>
      </c>
      <c r="G44" s="313">
        <f>'1.3 Frota Total'!F56</f>
        <v>0</v>
      </c>
      <c r="H44" s="313">
        <f>'1.3 Frota Total'!G56</f>
        <v>0</v>
      </c>
      <c r="I44" s="314">
        <f>'1.3 Frota Total'!H56</f>
        <v>0</v>
      </c>
      <c r="J44" s="508">
        <f>1-SUM('A.IX.a. Deprec. veículos'!$E$19:E26)</f>
        <v>0.14909090909090916</v>
      </c>
    </row>
    <row r="45" spans="1:13" x14ac:dyDescent="0.25">
      <c r="A45" s="741"/>
      <c r="B45" s="742"/>
      <c r="C45" s="742"/>
      <c r="D45" s="743"/>
      <c r="E45" s="312">
        <v>9</v>
      </c>
      <c r="F45" s="313">
        <f>'1.3 Frota Total'!E57</f>
        <v>0</v>
      </c>
      <c r="G45" s="313">
        <f>'1.3 Frota Total'!F57</f>
        <v>0</v>
      </c>
      <c r="H45" s="313">
        <f>'1.3 Frota Total'!G57</f>
        <v>0</v>
      </c>
      <c r="I45" s="314">
        <f>'1.3 Frota Total'!H57</f>
        <v>0</v>
      </c>
      <c r="J45" s="508">
        <f>1-SUM('A.IX.a. Deprec. veículos'!$E$19:E27)</f>
        <v>0.11636363636363645</v>
      </c>
    </row>
    <row r="46" spans="1:13" x14ac:dyDescent="0.25">
      <c r="A46" s="741"/>
      <c r="B46" s="742"/>
      <c r="C46" s="742"/>
      <c r="D46" s="743"/>
      <c r="E46" s="312">
        <v>10</v>
      </c>
      <c r="F46" s="313">
        <f>'1.3 Frota Total'!E58</f>
        <v>0</v>
      </c>
      <c r="G46" s="313">
        <f>'1.3 Frota Total'!F58</f>
        <v>0</v>
      </c>
      <c r="H46" s="313">
        <f>'1.3 Frota Total'!G58</f>
        <v>0</v>
      </c>
      <c r="I46" s="314">
        <f>'1.3 Frota Total'!H58</f>
        <v>0</v>
      </c>
      <c r="J46" s="508">
        <f>1-SUM('A.IX.a. Deprec. veículos'!$E$19:E28)</f>
        <v>0.10000000000000009</v>
      </c>
    </row>
    <row r="47" spans="1:13" x14ac:dyDescent="0.25">
      <c r="A47" s="741"/>
      <c r="B47" s="742"/>
      <c r="C47" s="742"/>
      <c r="D47" s="743"/>
      <c r="E47" s="312">
        <v>11</v>
      </c>
      <c r="F47" s="313">
        <f>'1.3 Frota Total'!E59</f>
        <v>0</v>
      </c>
      <c r="G47" s="313">
        <f>'1.3 Frota Total'!F59</f>
        <v>0</v>
      </c>
      <c r="H47" s="313">
        <f>'1.3 Frota Total'!G59</f>
        <v>0</v>
      </c>
      <c r="I47" s="314">
        <f>'1.3 Frota Total'!H59</f>
        <v>0</v>
      </c>
      <c r="J47" s="508">
        <f>1-SUM('A.IX.a. Deprec. veículos'!$E$19:E29)</f>
        <v>0.10000000000000009</v>
      </c>
    </row>
    <row r="48" spans="1:13" ht="15.75" thickBot="1" x14ac:dyDescent="0.3">
      <c r="A48" s="744"/>
      <c r="B48" s="745"/>
      <c r="C48" s="745"/>
      <c r="D48" s="746"/>
      <c r="E48" s="312">
        <v>12</v>
      </c>
      <c r="F48" s="313">
        <f>'1.3 Frota Total'!E60</f>
        <v>0</v>
      </c>
      <c r="G48" s="313">
        <f>'1.3 Frota Total'!F60</f>
        <v>0</v>
      </c>
      <c r="H48" s="313">
        <f>'1.3 Frota Total'!G60</f>
        <v>0</v>
      </c>
      <c r="I48" s="314">
        <f>'1.3 Frota Total'!H60</f>
        <v>0</v>
      </c>
      <c r="J48" s="509">
        <f>1-SUM('A.IX.a. Deprec. veículos'!$E$19:E30)</f>
        <v>0.10000000000000009</v>
      </c>
    </row>
    <row r="49" spans="1:10" x14ac:dyDescent="0.25">
      <c r="A49" s="738" t="s">
        <v>14</v>
      </c>
      <c r="B49" s="739"/>
      <c r="C49" s="739"/>
      <c r="D49" s="740"/>
      <c r="E49" s="309">
        <v>0</v>
      </c>
      <c r="F49" s="310">
        <f>'1.3 Frota Total'!E61</f>
        <v>0</v>
      </c>
      <c r="G49" s="310">
        <f>'1.3 Frota Total'!F61</f>
        <v>0</v>
      </c>
      <c r="H49" s="310">
        <f>'1.3 Frota Total'!G61</f>
        <v>0</v>
      </c>
      <c r="I49" s="311">
        <f>'1.3 Frota Total'!H61</f>
        <v>0</v>
      </c>
      <c r="J49" s="507">
        <v>1</v>
      </c>
    </row>
    <row r="50" spans="1:10" x14ac:dyDescent="0.25">
      <c r="A50" s="741"/>
      <c r="B50" s="742"/>
      <c r="C50" s="742"/>
      <c r="D50" s="743"/>
      <c r="E50" s="312">
        <v>1</v>
      </c>
      <c r="F50" s="313">
        <f>'1.3 Frota Total'!E62</f>
        <v>0</v>
      </c>
      <c r="G50" s="313">
        <f>'1.3 Frota Total'!F62</f>
        <v>0</v>
      </c>
      <c r="H50" s="313">
        <f>'1.3 Frota Total'!G62</f>
        <v>0</v>
      </c>
      <c r="I50" s="314">
        <f>'1.3 Frota Total'!H62</f>
        <v>0</v>
      </c>
      <c r="J50" s="508">
        <f>1-'A.IX.a. Deprec. veículos'!E19</f>
        <v>0.83636363636363642</v>
      </c>
    </row>
    <row r="51" spans="1:10" x14ac:dyDescent="0.25">
      <c r="A51" s="741"/>
      <c r="B51" s="742"/>
      <c r="C51" s="742"/>
      <c r="D51" s="743"/>
      <c r="E51" s="312">
        <v>2</v>
      </c>
      <c r="F51" s="313">
        <f>'1.3 Frota Total'!E63</f>
        <v>0</v>
      </c>
      <c r="G51" s="313">
        <f>'1.3 Frota Total'!F63</f>
        <v>0</v>
      </c>
      <c r="H51" s="313">
        <f>'1.3 Frota Total'!G63</f>
        <v>0</v>
      </c>
      <c r="I51" s="314">
        <f>'1.3 Frota Total'!H63</f>
        <v>0</v>
      </c>
      <c r="J51" s="508">
        <f>1-SUM('A.IX.a. Deprec. veículos'!$E$19:E20)</f>
        <v>0.68909090909090909</v>
      </c>
    </row>
    <row r="52" spans="1:10" x14ac:dyDescent="0.25">
      <c r="A52" s="741"/>
      <c r="B52" s="742"/>
      <c r="C52" s="742"/>
      <c r="D52" s="743"/>
      <c r="E52" s="312">
        <v>3</v>
      </c>
      <c r="F52" s="313">
        <f>'1.3 Frota Total'!E64</f>
        <v>0</v>
      </c>
      <c r="G52" s="313">
        <f>'1.3 Frota Total'!F64</f>
        <v>0</v>
      </c>
      <c r="H52" s="313">
        <f>'1.3 Frota Total'!G64</f>
        <v>0</v>
      </c>
      <c r="I52" s="314">
        <f>'1.3 Frota Total'!H64</f>
        <v>0</v>
      </c>
      <c r="J52" s="508">
        <f>1-SUM('A.IX.a. Deprec. veículos'!$E$19:E21)</f>
        <v>0.55818181818181811</v>
      </c>
    </row>
    <row r="53" spans="1:10" x14ac:dyDescent="0.25">
      <c r="A53" s="741"/>
      <c r="B53" s="742"/>
      <c r="C53" s="742"/>
      <c r="D53" s="743"/>
      <c r="E53" s="312">
        <v>4</v>
      </c>
      <c r="F53" s="313">
        <f>'1.3 Frota Total'!E65</f>
        <v>0</v>
      </c>
      <c r="G53" s="313">
        <f>'1.3 Frota Total'!F65</f>
        <v>0</v>
      </c>
      <c r="H53" s="313">
        <f>'1.3 Frota Total'!G65</f>
        <v>0</v>
      </c>
      <c r="I53" s="314">
        <f>'1.3 Frota Total'!H65</f>
        <v>0</v>
      </c>
      <c r="J53" s="508">
        <f>1-SUM('A.IX.a. Deprec. veículos'!$E$19:E22)</f>
        <v>0.44363636363636361</v>
      </c>
    </row>
    <row r="54" spans="1:10" x14ac:dyDescent="0.25">
      <c r="A54" s="741"/>
      <c r="B54" s="742"/>
      <c r="C54" s="742"/>
      <c r="D54" s="743"/>
      <c r="E54" s="312">
        <v>5</v>
      </c>
      <c r="F54" s="313">
        <f>'1.3 Frota Total'!E66</f>
        <v>0</v>
      </c>
      <c r="G54" s="313">
        <f>'1.3 Frota Total'!F66</f>
        <v>0</v>
      </c>
      <c r="H54" s="313">
        <f>'1.3 Frota Total'!G66</f>
        <v>5</v>
      </c>
      <c r="I54" s="314">
        <f>'1.3 Frota Total'!H66</f>
        <v>0</v>
      </c>
      <c r="J54" s="508">
        <f>1-SUM('A.IX.a. Deprec. veículos'!$E$19:E23)</f>
        <v>0.34545454545454546</v>
      </c>
    </row>
    <row r="55" spans="1:10" x14ac:dyDescent="0.25">
      <c r="A55" s="741"/>
      <c r="B55" s="742"/>
      <c r="C55" s="742"/>
      <c r="D55" s="743"/>
      <c r="E55" s="312">
        <v>6</v>
      </c>
      <c r="F55" s="313">
        <f>'1.3 Frota Total'!E67</f>
        <v>0</v>
      </c>
      <c r="G55" s="313">
        <f>'1.3 Frota Total'!F67</f>
        <v>0</v>
      </c>
      <c r="H55" s="313">
        <f>'1.3 Frota Total'!G67</f>
        <v>0</v>
      </c>
      <c r="I55" s="314">
        <f>'1.3 Frota Total'!H67</f>
        <v>0</v>
      </c>
      <c r="J55" s="508">
        <f>1-SUM('A.IX.a. Deprec. veículos'!$E$19:E24)</f>
        <v>0.26363636363636367</v>
      </c>
    </row>
    <row r="56" spans="1:10" x14ac:dyDescent="0.25">
      <c r="A56" s="741"/>
      <c r="B56" s="742"/>
      <c r="C56" s="742"/>
      <c r="D56" s="743"/>
      <c r="E56" s="312">
        <v>7</v>
      </c>
      <c r="F56" s="313">
        <f>'1.3 Frota Total'!E68</f>
        <v>0</v>
      </c>
      <c r="G56" s="313">
        <f>'1.3 Frota Total'!F68</f>
        <v>0</v>
      </c>
      <c r="H56" s="313">
        <f>'1.3 Frota Total'!G68</f>
        <v>0</v>
      </c>
      <c r="I56" s="314">
        <f>'1.3 Frota Total'!H68</f>
        <v>0</v>
      </c>
      <c r="J56" s="508">
        <f>1-SUM('A.IX.a. Deprec. veículos'!$E$19:E25)</f>
        <v>0.19818181818181824</v>
      </c>
    </row>
    <row r="57" spans="1:10" x14ac:dyDescent="0.25">
      <c r="A57" s="741"/>
      <c r="B57" s="742"/>
      <c r="C57" s="742"/>
      <c r="D57" s="743"/>
      <c r="E57" s="312">
        <v>8</v>
      </c>
      <c r="F57" s="313">
        <f>'1.3 Frota Total'!E69</f>
        <v>0</v>
      </c>
      <c r="G57" s="313">
        <f>'1.3 Frota Total'!F69</f>
        <v>0</v>
      </c>
      <c r="H57" s="313">
        <f>'1.3 Frota Total'!G69</f>
        <v>0</v>
      </c>
      <c r="I57" s="314">
        <f>'1.3 Frota Total'!H69</f>
        <v>0</v>
      </c>
      <c r="J57" s="508">
        <f>1-SUM('A.IX.a. Deprec. veículos'!$E$19:E26)</f>
        <v>0.14909090909090916</v>
      </c>
    </row>
    <row r="58" spans="1:10" x14ac:dyDescent="0.25">
      <c r="A58" s="741"/>
      <c r="B58" s="742"/>
      <c r="C58" s="742"/>
      <c r="D58" s="743"/>
      <c r="E58" s="312">
        <v>9</v>
      </c>
      <c r="F58" s="313">
        <f>'1.3 Frota Total'!E70</f>
        <v>0</v>
      </c>
      <c r="G58" s="313">
        <f>'1.3 Frota Total'!F70</f>
        <v>0</v>
      </c>
      <c r="H58" s="313">
        <f>'1.3 Frota Total'!G70</f>
        <v>0</v>
      </c>
      <c r="I58" s="314">
        <f>'1.3 Frota Total'!H70</f>
        <v>0</v>
      </c>
      <c r="J58" s="508">
        <f>1-SUM('A.IX.a. Deprec. veículos'!$E$19:E27)</f>
        <v>0.11636363636363645</v>
      </c>
    </row>
    <row r="59" spans="1:10" x14ac:dyDescent="0.25">
      <c r="A59" s="741"/>
      <c r="B59" s="742"/>
      <c r="C59" s="742"/>
      <c r="D59" s="743"/>
      <c r="E59" s="312">
        <v>10</v>
      </c>
      <c r="F59" s="313">
        <f>'1.3 Frota Total'!E71</f>
        <v>0</v>
      </c>
      <c r="G59" s="313">
        <f>'1.3 Frota Total'!F71</f>
        <v>0</v>
      </c>
      <c r="H59" s="313">
        <f>'1.3 Frota Total'!G71</f>
        <v>0</v>
      </c>
      <c r="I59" s="314">
        <f>'1.3 Frota Total'!H71</f>
        <v>0</v>
      </c>
      <c r="J59" s="508">
        <f>1-SUM('A.IX.a. Deprec. veículos'!$E$19:E28)</f>
        <v>0.10000000000000009</v>
      </c>
    </row>
    <row r="60" spans="1:10" x14ac:dyDescent="0.25">
      <c r="A60" s="741"/>
      <c r="B60" s="742"/>
      <c r="C60" s="742"/>
      <c r="D60" s="743"/>
      <c r="E60" s="312">
        <v>11</v>
      </c>
      <c r="F60" s="313">
        <f>'1.3 Frota Total'!E72</f>
        <v>0</v>
      </c>
      <c r="G60" s="313">
        <f>'1.3 Frota Total'!F72</f>
        <v>0</v>
      </c>
      <c r="H60" s="313">
        <f>'1.3 Frota Total'!G72</f>
        <v>0</v>
      </c>
      <c r="I60" s="314">
        <f>'1.3 Frota Total'!H72</f>
        <v>0</v>
      </c>
      <c r="J60" s="508">
        <f>1-SUM('A.IX.a. Deprec. veículos'!$E$19:E29)</f>
        <v>0.10000000000000009</v>
      </c>
    </row>
    <row r="61" spans="1:10" ht="15.75" thickBot="1" x14ac:dyDescent="0.3">
      <c r="A61" s="744"/>
      <c r="B61" s="745"/>
      <c r="C61" s="745"/>
      <c r="D61" s="746"/>
      <c r="E61" s="312">
        <v>12</v>
      </c>
      <c r="F61" s="313">
        <f>'1.3 Frota Total'!E73</f>
        <v>0</v>
      </c>
      <c r="G61" s="313">
        <f>'1.3 Frota Total'!F73</f>
        <v>0</v>
      </c>
      <c r="H61" s="313">
        <f>'1.3 Frota Total'!G73</f>
        <v>0</v>
      </c>
      <c r="I61" s="314">
        <f>'1.3 Frota Total'!H73</f>
        <v>0</v>
      </c>
      <c r="J61" s="508">
        <f>1-SUM('A.IX.a. Deprec. veículos'!$E$19:E30)</f>
        <v>0.10000000000000009</v>
      </c>
    </row>
    <row r="62" spans="1:10" x14ac:dyDescent="0.25">
      <c r="A62" s="741" t="s">
        <v>15</v>
      </c>
      <c r="B62" s="742"/>
      <c r="C62" s="742"/>
      <c r="D62" s="743"/>
      <c r="E62" s="309">
        <v>0</v>
      </c>
      <c r="F62" s="310">
        <f>'1.3 Frota Total'!E74</f>
        <v>0</v>
      </c>
      <c r="G62" s="310">
        <f>'1.3 Frota Total'!F74</f>
        <v>0</v>
      </c>
      <c r="H62" s="310">
        <f>'1.3 Frota Total'!G74</f>
        <v>0</v>
      </c>
      <c r="I62" s="311">
        <f>'1.3 Frota Total'!H74</f>
        <v>0</v>
      </c>
      <c r="J62" s="511">
        <v>1</v>
      </c>
    </row>
    <row r="63" spans="1:10" x14ac:dyDescent="0.25">
      <c r="A63" s="741"/>
      <c r="B63" s="742"/>
      <c r="C63" s="742"/>
      <c r="D63" s="743"/>
      <c r="E63" s="312">
        <v>1</v>
      </c>
      <c r="F63" s="313">
        <f>'1.3 Frota Total'!E75</f>
        <v>0</v>
      </c>
      <c r="G63" s="313">
        <f>'1.3 Frota Total'!F75</f>
        <v>0</v>
      </c>
      <c r="H63" s="313">
        <f>'1.3 Frota Total'!G75</f>
        <v>0</v>
      </c>
      <c r="I63" s="351">
        <f>'1.3 Frota Total'!H75</f>
        <v>0</v>
      </c>
      <c r="J63" s="512">
        <f>1-'A.IX.a. Deprec. veículos'!F19</f>
        <v>0.83636363636363642</v>
      </c>
    </row>
    <row r="64" spans="1:10" x14ac:dyDescent="0.25">
      <c r="A64" s="741"/>
      <c r="B64" s="742"/>
      <c r="C64" s="742"/>
      <c r="D64" s="743"/>
      <c r="E64" s="312">
        <v>2</v>
      </c>
      <c r="F64" s="313">
        <f>'1.3 Frota Total'!E76</f>
        <v>0</v>
      </c>
      <c r="G64" s="313">
        <f>'1.3 Frota Total'!F76</f>
        <v>0</v>
      </c>
      <c r="H64" s="313">
        <f>'1.3 Frota Total'!G76</f>
        <v>0</v>
      </c>
      <c r="I64" s="351">
        <f>'1.3 Frota Total'!H76</f>
        <v>0</v>
      </c>
      <c r="J64" s="512">
        <f>1-SUM('A.IX.a. Deprec. veículos'!F19:F20)</f>
        <v>0.68909090909090909</v>
      </c>
    </row>
    <row r="65" spans="1:10" x14ac:dyDescent="0.25">
      <c r="A65" s="741"/>
      <c r="B65" s="742"/>
      <c r="C65" s="742"/>
      <c r="D65" s="743"/>
      <c r="E65" s="312">
        <v>3</v>
      </c>
      <c r="F65" s="313">
        <f>'1.3 Frota Total'!E77</f>
        <v>0</v>
      </c>
      <c r="G65" s="313">
        <f>'1.3 Frota Total'!F77</f>
        <v>0</v>
      </c>
      <c r="H65" s="313">
        <f>'1.3 Frota Total'!G77</f>
        <v>0</v>
      </c>
      <c r="I65" s="351">
        <f>'1.3 Frota Total'!H77</f>
        <v>0</v>
      </c>
      <c r="J65" s="512">
        <f>1-SUM('A.IX.a. Deprec. veículos'!F19:F21)</f>
        <v>0.55818181818181811</v>
      </c>
    </row>
    <row r="66" spans="1:10" x14ac:dyDescent="0.25">
      <c r="A66" s="741"/>
      <c r="B66" s="742"/>
      <c r="C66" s="742"/>
      <c r="D66" s="743"/>
      <c r="E66" s="312">
        <v>4</v>
      </c>
      <c r="F66" s="313">
        <f>'1.3 Frota Total'!E78</f>
        <v>0</v>
      </c>
      <c r="G66" s="313">
        <f>'1.3 Frota Total'!F78</f>
        <v>0</v>
      </c>
      <c r="H66" s="313">
        <f>'1.3 Frota Total'!G78</f>
        <v>0</v>
      </c>
      <c r="I66" s="351">
        <f>'1.3 Frota Total'!H78</f>
        <v>0</v>
      </c>
      <c r="J66" s="512">
        <f>1-SUM('A.IX.a. Deprec. veículos'!F19:F22)</f>
        <v>0.44363636363636361</v>
      </c>
    </row>
    <row r="67" spans="1:10" x14ac:dyDescent="0.25">
      <c r="A67" s="741"/>
      <c r="B67" s="742"/>
      <c r="C67" s="742"/>
      <c r="D67" s="743"/>
      <c r="E67" s="312">
        <v>5</v>
      </c>
      <c r="F67" s="313">
        <f>'1.3 Frota Total'!E79</f>
        <v>0</v>
      </c>
      <c r="G67" s="313">
        <f>'1.3 Frota Total'!F79</f>
        <v>0</v>
      </c>
      <c r="H67" s="313">
        <f>'1.3 Frota Total'!G79</f>
        <v>0</v>
      </c>
      <c r="I67" s="351">
        <f>'1.3 Frota Total'!H79</f>
        <v>0</v>
      </c>
      <c r="J67" s="512">
        <f>1-SUM('A.IX.a. Deprec. veículos'!F19:F23)</f>
        <v>0.34545454545454546</v>
      </c>
    </row>
    <row r="68" spans="1:10" x14ac:dyDescent="0.25">
      <c r="A68" s="741"/>
      <c r="B68" s="742"/>
      <c r="C68" s="742"/>
      <c r="D68" s="743"/>
      <c r="E68" s="312">
        <v>6</v>
      </c>
      <c r="F68" s="313">
        <f>'1.3 Frota Total'!E80</f>
        <v>0</v>
      </c>
      <c r="G68" s="313">
        <f>'1.3 Frota Total'!F80</f>
        <v>0</v>
      </c>
      <c r="H68" s="313">
        <f>'1.3 Frota Total'!G80</f>
        <v>0</v>
      </c>
      <c r="I68" s="351">
        <f>'1.3 Frota Total'!H80</f>
        <v>0</v>
      </c>
      <c r="J68" s="512">
        <f>1-SUM('A.IX.a. Deprec. veículos'!F19:F24)</f>
        <v>0.26363636363636367</v>
      </c>
    </row>
    <row r="69" spans="1:10" x14ac:dyDescent="0.25">
      <c r="A69" s="741"/>
      <c r="B69" s="742"/>
      <c r="C69" s="742"/>
      <c r="D69" s="743"/>
      <c r="E69" s="312">
        <v>7</v>
      </c>
      <c r="F69" s="313">
        <f>'1.3 Frota Total'!E81</f>
        <v>0</v>
      </c>
      <c r="G69" s="313">
        <f>'1.3 Frota Total'!F81</f>
        <v>0</v>
      </c>
      <c r="H69" s="313">
        <f>'1.3 Frota Total'!G81</f>
        <v>0</v>
      </c>
      <c r="I69" s="351">
        <f>'1.3 Frota Total'!H81</f>
        <v>0</v>
      </c>
      <c r="J69" s="512">
        <f>1-SUM('A.IX.a. Deprec. veículos'!F19:F25)</f>
        <v>0.19818181818181824</v>
      </c>
    </row>
    <row r="70" spans="1:10" x14ac:dyDescent="0.25">
      <c r="A70" s="741"/>
      <c r="B70" s="742"/>
      <c r="C70" s="742"/>
      <c r="D70" s="743"/>
      <c r="E70" s="312">
        <v>8</v>
      </c>
      <c r="F70" s="313">
        <f>'1.3 Frota Total'!E82</f>
        <v>0</v>
      </c>
      <c r="G70" s="313">
        <f>'1.3 Frota Total'!F82</f>
        <v>0</v>
      </c>
      <c r="H70" s="313">
        <f>'1.3 Frota Total'!G82</f>
        <v>0</v>
      </c>
      <c r="I70" s="351">
        <f>'1.3 Frota Total'!H82</f>
        <v>0</v>
      </c>
      <c r="J70" s="512">
        <f>1-SUM('A.IX.a. Deprec. veículos'!F19:F26)</f>
        <v>0.14909090909090916</v>
      </c>
    </row>
    <row r="71" spans="1:10" x14ac:dyDescent="0.25">
      <c r="A71" s="741"/>
      <c r="B71" s="742"/>
      <c r="C71" s="742"/>
      <c r="D71" s="743"/>
      <c r="E71" s="312">
        <v>9</v>
      </c>
      <c r="F71" s="313">
        <f>'1.3 Frota Total'!E83</f>
        <v>0</v>
      </c>
      <c r="G71" s="313">
        <f>'1.3 Frota Total'!F83</f>
        <v>0</v>
      </c>
      <c r="H71" s="313">
        <f>'1.3 Frota Total'!G83</f>
        <v>0</v>
      </c>
      <c r="I71" s="351">
        <f>'1.3 Frota Total'!H83</f>
        <v>0</v>
      </c>
      <c r="J71" s="512">
        <f>1-SUM('A.IX.a. Deprec. veículos'!F19:F27)</f>
        <v>0.11636363636363645</v>
      </c>
    </row>
    <row r="72" spans="1:10" ht="15.75" thickBot="1" x14ac:dyDescent="0.3">
      <c r="A72" s="744"/>
      <c r="B72" s="745"/>
      <c r="C72" s="745"/>
      <c r="D72" s="746"/>
      <c r="E72" s="315">
        <v>10</v>
      </c>
      <c r="F72" s="316">
        <f>'1.3 Frota Total'!E84</f>
        <v>0</v>
      </c>
      <c r="G72" s="316">
        <f>'1.3 Frota Total'!F84</f>
        <v>0</v>
      </c>
      <c r="H72" s="316">
        <f>'1.3 Frota Total'!G84</f>
        <v>0</v>
      </c>
      <c r="I72" s="353">
        <f>'1.3 Frota Total'!H84</f>
        <v>0</v>
      </c>
      <c r="J72" s="513">
        <f>1-SUM('A.IX.a. Deprec. veículos'!F19:F28)</f>
        <v>0.10000000000000009</v>
      </c>
    </row>
    <row r="73" spans="1:10" x14ac:dyDescent="0.25">
      <c r="A73" s="738" t="s">
        <v>16</v>
      </c>
      <c r="B73" s="739"/>
      <c r="C73" s="739"/>
      <c r="D73" s="740"/>
      <c r="E73" s="309">
        <v>0</v>
      </c>
      <c r="F73" s="310">
        <f>'1.3 Frota Total'!E85</f>
        <v>0</v>
      </c>
      <c r="G73" s="310">
        <f>'1.3 Frota Total'!F85</f>
        <v>0</v>
      </c>
      <c r="H73" s="310">
        <f>'1.3 Frota Total'!G85</f>
        <v>0</v>
      </c>
      <c r="I73" s="311">
        <f>'1.3 Frota Total'!H85</f>
        <v>0</v>
      </c>
      <c r="J73" s="507">
        <v>1</v>
      </c>
    </row>
    <row r="74" spans="1:10" x14ac:dyDescent="0.25">
      <c r="A74" s="741"/>
      <c r="B74" s="742"/>
      <c r="C74" s="742"/>
      <c r="D74" s="743"/>
      <c r="E74" s="312">
        <v>1</v>
      </c>
      <c r="F74" s="313">
        <f>'1.3 Frota Total'!E86</f>
        <v>0</v>
      </c>
      <c r="G74" s="313">
        <f>'1.3 Frota Total'!F86</f>
        <v>0</v>
      </c>
      <c r="H74" s="313">
        <f>'1.3 Frota Total'!G86</f>
        <v>0</v>
      </c>
      <c r="I74" s="314">
        <f>'1.3 Frota Total'!H86</f>
        <v>0</v>
      </c>
      <c r="J74" s="508">
        <f>1-'A.IX.a. Deprec. veículos'!G19</f>
        <v>0.82727272727272727</v>
      </c>
    </row>
    <row r="75" spans="1:10" x14ac:dyDescent="0.25">
      <c r="A75" s="741"/>
      <c r="B75" s="742"/>
      <c r="C75" s="742"/>
      <c r="D75" s="743"/>
      <c r="E75" s="312">
        <v>2</v>
      </c>
      <c r="F75" s="313">
        <f>'1.3 Frota Total'!E87</f>
        <v>0</v>
      </c>
      <c r="G75" s="313">
        <f>'1.3 Frota Total'!F87</f>
        <v>0</v>
      </c>
      <c r="H75" s="313">
        <f>'1.3 Frota Total'!G87</f>
        <v>0</v>
      </c>
      <c r="I75" s="314">
        <f>'1.3 Frota Total'!H87</f>
        <v>0</v>
      </c>
      <c r="J75" s="508">
        <f>1-SUM('A.IX.a. Deprec. veículos'!G19:G20)</f>
        <v>0.67181818181818187</v>
      </c>
    </row>
    <row r="76" spans="1:10" x14ac:dyDescent="0.25">
      <c r="A76" s="741"/>
      <c r="B76" s="742"/>
      <c r="C76" s="742"/>
      <c r="D76" s="743"/>
      <c r="E76" s="312">
        <v>3</v>
      </c>
      <c r="F76" s="313">
        <f>'1.3 Frota Total'!E88</f>
        <v>0</v>
      </c>
      <c r="G76" s="313">
        <f>'1.3 Frota Total'!F88</f>
        <v>0</v>
      </c>
      <c r="H76" s="313">
        <f>'1.3 Frota Total'!G88</f>
        <v>0</v>
      </c>
      <c r="I76" s="314">
        <f>'1.3 Frota Total'!H88</f>
        <v>0</v>
      </c>
      <c r="J76" s="508">
        <f>1-SUM('A.IX.a. Deprec. veículos'!G19:G21)</f>
        <v>0.53363636363636369</v>
      </c>
    </row>
    <row r="77" spans="1:10" x14ac:dyDescent="0.25">
      <c r="A77" s="741"/>
      <c r="B77" s="742"/>
      <c r="C77" s="742"/>
      <c r="D77" s="743"/>
      <c r="E77" s="312">
        <v>4</v>
      </c>
      <c r="F77" s="313">
        <f>'1.3 Frota Total'!E89</f>
        <v>0</v>
      </c>
      <c r="G77" s="313">
        <f>'1.3 Frota Total'!F89</f>
        <v>0</v>
      </c>
      <c r="H77" s="313">
        <f>'1.3 Frota Total'!G89</f>
        <v>0</v>
      </c>
      <c r="I77" s="314">
        <f>'1.3 Frota Total'!H89</f>
        <v>0</v>
      </c>
      <c r="J77" s="508">
        <f>1-SUM('A.IX.a. Deprec. veículos'!G19:G22)</f>
        <v>0.41272727272727283</v>
      </c>
    </row>
    <row r="78" spans="1:10" x14ac:dyDescent="0.25">
      <c r="A78" s="741"/>
      <c r="B78" s="742"/>
      <c r="C78" s="742"/>
      <c r="D78" s="743"/>
      <c r="E78" s="312">
        <v>5</v>
      </c>
      <c r="F78" s="313">
        <f>'1.3 Frota Total'!E90</f>
        <v>0</v>
      </c>
      <c r="G78" s="313">
        <f>'1.3 Frota Total'!F90</f>
        <v>0</v>
      </c>
      <c r="H78" s="313">
        <f>'1.3 Frota Total'!G90</f>
        <v>0</v>
      </c>
      <c r="I78" s="314">
        <f>'1.3 Frota Total'!H90</f>
        <v>0</v>
      </c>
      <c r="J78" s="508">
        <f>1-SUM('A.IX.a. Deprec. veículos'!G19:G23)</f>
        <v>0.30909090909090919</v>
      </c>
    </row>
    <row r="79" spans="1:10" x14ac:dyDescent="0.25">
      <c r="A79" s="741"/>
      <c r="B79" s="742"/>
      <c r="C79" s="742"/>
      <c r="D79" s="743"/>
      <c r="E79" s="312">
        <v>6</v>
      </c>
      <c r="F79" s="313">
        <f>'1.3 Frota Total'!E91</f>
        <v>0</v>
      </c>
      <c r="G79" s="313">
        <f>'1.3 Frota Total'!F91</f>
        <v>0</v>
      </c>
      <c r="H79" s="313">
        <f>'1.3 Frota Total'!G91</f>
        <v>0</v>
      </c>
      <c r="I79" s="314">
        <f>'1.3 Frota Total'!H91</f>
        <v>0</v>
      </c>
      <c r="J79" s="508">
        <f>1-SUM('A.IX.a. Deprec. veículos'!G19:G24)</f>
        <v>0.22272727272727288</v>
      </c>
    </row>
    <row r="80" spans="1:10" x14ac:dyDescent="0.25">
      <c r="A80" s="741"/>
      <c r="B80" s="742"/>
      <c r="C80" s="742"/>
      <c r="D80" s="743"/>
      <c r="E80" s="312">
        <v>7</v>
      </c>
      <c r="F80" s="313">
        <f>'1.3 Frota Total'!E92</f>
        <v>0</v>
      </c>
      <c r="G80" s="313">
        <f>'1.3 Frota Total'!F92</f>
        <v>0</v>
      </c>
      <c r="H80" s="313">
        <f>'1.3 Frota Total'!G92</f>
        <v>0</v>
      </c>
      <c r="I80" s="314">
        <f>'1.3 Frota Total'!H92</f>
        <v>0</v>
      </c>
      <c r="J80" s="508">
        <f>1-SUM('A.IX.a. Deprec. veículos'!G19:G25)</f>
        <v>0.15363636363636379</v>
      </c>
    </row>
    <row r="81" spans="1:10" x14ac:dyDescent="0.25">
      <c r="A81" s="741"/>
      <c r="B81" s="742"/>
      <c r="C81" s="742"/>
      <c r="D81" s="743"/>
      <c r="E81" s="312">
        <v>8</v>
      </c>
      <c r="F81" s="313">
        <f>'1.3 Frota Total'!E93</f>
        <v>0</v>
      </c>
      <c r="G81" s="313">
        <f>'1.3 Frota Total'!F93</f>
        <v>0</v>
      </c>
      <c r="H81" s="313">
        <f>'1.3 Frota Total'!G93</f>
        <v>0</v>
      </c>
      <c r="I81" s="314">
        <f>'1.3 Frota Total'!H93</f>
        <v>0</v>
      </c>
      <c r="J81" s="508">
        <f>1-SUM('A.IX.a. Deprec. veículos'!G19:G26)</f>
        <v>0.10181818181818203</v>
      </c>
    </row>
    <row r="82" spans="1:10" x14ac:dyDescent="0.25">
      <c r="A82" s="741"/>
      <c r="B82" s="742"/>
      <c r="C82" s="742"/>
      <c r="D82" s="743"/>
      <c r="E82" s="312">
        <v>9</v>
      </c>
      <c r="F82" s="313">
        <f>'1.3 Frota Total'!E94</f>
        <v>0</v>
      </c>
      <c r="G82" s="313">
        <f>'1.3 Frota Total'!F94</f>
        <v>0</v>
      </c>
      <c r="H82" s="313">
        <f>'1.3 Frota Total'!G94</f>
        <v>0</v>
      </c>
      <c r="I82" s="314">
        <f>'1.3 Frota Total'!H94</f>
        <v>0</v>
      </c>
      <c r="J82" s="508">
        <f>1-SUM('A.IX.a. Deprec. veículos'!G19:G27)</f>
        <v>6.7272727272727484E-2</v>
      </c>
    </row>
    <row r="83" spans="1:10" x14ac:dyDescent="0.25">
      <c r="A83" s="741"/>
      <c r="B83" s="742"/>
      <c r="C83" s="742"/>
      <c r="D83" s="743"/>
      <c r="E83" s="312">
        <v>10</v>
      </c>
      <c r="F83" s="313">
        <f>'1.3 Frota Total'!E95</f>
        <v>0</v>
      </c>
      <c r="G83" s="313">
        <f>'1.3 Frota Total'!F95</f>
        <v>0</v>
      </c>
      <c r="H83" s="313">
        <f>'1.3 Frota Total'!G95</f>
        <v>0</v>
      </c>
      <c r="I83" s="314">
        <f>'1.3 Frota Total'!H95</f>
        <v>0</v>
      </c>
      <c r="J83" s="508">
        <f>1-SUM('A.IX.a. Deprec. veículos'!G19:G28)</f>
        <v>5.0000000000000266E-2</v>
      </c>
    </row>
    <row r="84" spans="1:10" x14ac:dyDescent="0.25">
      <c r="A84" s="741"/>
      <c r="B84" s="742"/>
      <c r="C84" s="742"/>
      <c r="D84" s="743"/>
      <c r="E84" s="312">
        <v>11</v>
      </c>
      <c r="F84" s="313">
        <f>'1.3 Frota Total'!E96</f>
        <v>0</v>
      </c>
      <c r="G84" s="313">
        <f>'1.3 Frota Total'!F96</f>
        <v>0</v>
      </c>
      <c r="H84" s="313">
        <f>'1.3 Frota Total'!G96</f>
        <v>0</v>
      </c>
      <c r="I84" s="314">
        <f>'1.3 Frota Total'!H96</f>
        <v>0</v>
      </c>
      <c r="J84" s="508">
        <f>1-SUM('A.IX.a. Deprec. veículos'!G19:G29)</f>
        <v>5.0000000000000266E-2</v>
      </c>
    </row>
    <row r="85" spans="1:10" ht="15.75" thickBot="1" x14ac:dyDescent="0.3">
      <c r="A85" s="741"/>
      <c r="B85" s="742"/>
      <c r="C85" s="742"/>
      <c r="D85" s="743"/>
      <c r="E85" s="318">
        <v>12</v>
      </c>
      <c r="F85" s="319">
        <f>'1.3 Frota Total'!E97</f>
        <v>0</v>
      </c>
      <c r="G85" s="319">
        <f>'1.3 Frota Total'!F97</f>
        <v>0</v>
      </c>
      <c r="H85" s="319">
        <f>'1.3 Frota Total'!G97</f>
        <v>0</v>
      </c>
      <c r="I85" s="320">
        <f>'1.3 Frota Total'!H97</f>
        <v>0</v>
      </c>
      <c r="J85" s="514">
        <f>1-SUM('A.IX.a. Deprec. veículos'!G19:G30)</f>
        <v>5.0000000000000266E-2</v>
      </c>
    </row>
    <row r="86" spans="1:10" x14ac:dyDescent="0.25">
      <c r="A86" s="738" t="s">
        <v>17</v>
      </c>
      <c r="B86" s="739"/>
      <c r="C86" s="739"/>
      <c r="D86" s="739"/>
      <c r="E86" s="309">
        <v>0</v>
      </c>
      <c r="F86" s="310">
        <f>'1.3 Frota Total'!E98</f>
        <v>0</v>
      </c>
      <c r="G86" s="310">
        <f>'1.3 Frota Total'!F98</f>
        <v>0</v>
      </c>
      <c r="H86" s="310">
        <f>'1.3 Frota Total'!G98</f>
        <v>0</v>
      </c>
      <c r="I86" s="350">
        <f>'1.3 Frota Total'!H98</f>
        <v>0</v>
      </c>
      <c r="J86" s="507">
        <v>1</v>
      </c>
    </row>
    <row r="87" spans="1:10" x14ac:dyDescent="0.25">
      <c r="A87" s="741"/>
      <c r="B87" s="742"/>
      <c r="C87" s="742"/>
      <c r="D87" s="742"/>
      <c r="E87" s="312">
        <v>1</v>
      </c>
      <c r="F87" s="313">
        <f>'1.3 Frota Total'!E99</f>
        <v>0</v>
      </c>
      <c r="G87" s="313">
        <f>'1.3 Frota Total'!F99</f>
        <v>0</v>
      </c>
      <c r="H87" s="313">
        <f>'1.3 Frota Total'!G99</f>
        <v>0</v>
      </c>
      <c r="I87" s="351">
        <f>'1.3 Frota Total'!H99</f>
        <v>0</v>
      </c>
      <c r="J87" s="508">
        <f>1-'A.IX.a. Deprec. veículos'!G19</f>
        <v>0.82727272727272727</v>
      </c>
    </row>
    <row r="88" spans="1:10" x14ac:dyDescent="0.25">
      <c r="A88" s="741"/>
      <c r="B88" s="742"/>
      <c r="C88" s="742"/>
      <c r="D88" s="742"/>
      <c r="E88" s="312">
        <v>2</v>
      </c>
      <c r="F88" s="313">
        <f>'1.3 Frota Total'!E100</f>
        <v>0</v>
      </c>
      <c r="G88" s="313">
        <f>'1.3 Frota Total'!F100</f>
        <v>0</v>
      </c>
      <c r="H88" s="313">
        <f>'1.3 Frota Total'!G100</f>
        <v>0</v>
      </c>
      <c r="I88" s="351">
        <f>'1.3 Frota Total'!H100</f>
        <v>0</v>
      </c>
      <c r="J88" s="508">
        <f>1-SUM('A.IX.a. Deprec. veículos'!G19:G20)</f>
        <v>0.67181818181818187</v>
      </c>
    </row>
    <row r="89" spans="1:10" x14ac:dyDescent="0.25">
      <c r="A89" s="741"/>
      <c r="B89" s="742"/>
      <c r="C89" s="742"/>
      <c r="D89" s="742"/>
      <c r="E89" s="312">
        <v>3</v>
      </c>
      <c r="F89" s="313">
        <f>'1.3 Frota Total'!E101</f>
        <v>0</v>
      </c>
      <c r="G89" s="313">
        <f>'1.3 Frota Total'!F101</f>
        <v>0</v>
      </c>
      <c r="H89" s="313">
        <f>'1.3 Frota Total'!G101</f>
        <v>0</v>
      </c>
      <c r="I89" s="351">
        <f>'1.3 Frota Total'!H101</f>
        <v>0</v>
      </c>
      <c r="J89" s="508">
        <f>1-SUM('A.IX.a. Deprec. veículos'!G19:G21)</f>
        <v>0.53363636363636369</v>
      </c>
    </row>
    <row r="90" spans="1:10" x14ac:dyDescent="0.25">
      <c r="A90" s="741"/>
      <c r="B90" s="742"/>
      <c r="C90" s="742"/>
      <c r="D90" s="742"/>
      <c r="E90" s="312">
        <v>4</v>
      </c>
      <c r="F90" s="313">
        <f>'1.3 Frota Total'!E102</f>
        <v>0</v>
      </c>
      <c r="G90" s="313">
        <f>'1.3 Frota Total'!F102</f>
        <v>0</v>
      </c>
      <c r="H90" s="313">
        <f>'1.3 Frota Total'!G102</f>
        <v>0</v>
      </c>
      <c r="I90" s="351">
        <f>'1.3 Frota Total'!H102</f>
        <v>0</v>
      </c>
      <c r="J90" s="508">
        <f>1-SUM('A.IX.a. Deprec. veículos'!G19:G22)</f>
        <v>0.41272727272727283</v>
      </c>
    </row>
    <row r="91" spans="1:10" x14ac:dyDescent="0.25">
      <c r="A91" s="741"/>
      <c r="B91" s="742"/>
      <c r="C91" s="742"/>
      <c r="D91" s="742"/>
      <c r="E91" s="312">
        <v>5</v>
      </c>
      <c r="F91" s="313">
        <f>'1.3 Frota Total'!E103</f>
        <v>0</v>
      </c>
      <c r="G91" s="313">
        <f>'1.3 Frota Total'!F103</f>
        <v>0</v>
      </c>
      <c r="H91" s="313">
        <f>'1.3 Frota Total'!G103</f>
        <v>0</v>
      </c>
      <c r="I91" s="351">
        <f>'1.3 Frota Total'!H103</f>
        <v>0</v>
      </c>
      <c r="J91" s="508">
        <f>1-SUM('A.IX.a. Deprec. veículos'!G19:G23)</f>
        <v>0.30909090909090919</v>
      </c>
    </row>
    <row r="92" spans="1:10" x14ac:dyDescent="0.25">
      <c r="A92" s="741"/>
      <c r="B92" s="742"/>
      <c r="C92" s="742"/>
      <c r="D92" s="742"/>
      <c r="E92" s="312">
        <v>6</v>
      </c>
      <c r="F92" s="313">
        <f>'1.3 Frota Total'!E104</f>
        <v>0</v>
      </c>
      <c r="G92" s="313">
        <f>'1.3 Frota Total'!F104</f>
        <v>0</v>
      </c>
      <c r="H92" s="313">
        <f>'1.3 Frota Total'!G104</f>
        <v>0</v>
      </c>
      <c r="I92" s="351">
        <f>'1.3 Frota Total'!H104</f>
        <v>0</v>
      </c>
      <c r="J92" s="508">
        <f>1-SUM('A.IX.a. Deprec. veículos'!G19:G24)</f>
        <v>0.22272727272727288</v>
      </c>
    </row>
    <row r="93" spans="1:10" x14ac:dyDescent="0.25">
      <c r="A93" s="741"/>
      <c r="B93" s="742"/>
      <c r="C93" s="742"/>
      <c r="D93" s="742"/>
      <c r="E93" s="312">
        <v>7</v>
      </c>
      <c r="F93" s="313">
        <f>'1.3 Frota Total'!E105</f>
        <v>0</v>
      </c>
      <c r="G93" s="313">
        <f>'1.3 Frota Total'!F105</f>
        <v>0</v>
      </c>
      <c r="H93" s="313">
        <f>'1.3 Frota Total'!G105</f>
        <v>0</v>
      </c>
      <c r="I93" s="351">
        <f>'1.3 Frota Total'!H105</f>
        <v>0</v>
      </c>
      <c r="J93" s="508">
        <f>1-SUM('A.IX.a. Deprec. veículos'!G19:G25)</f>
        <v>0.15363636363636379</v>
      </c>
    </row>
    <row r="94" spans="1:10" x14ac:dyDescent="0.25">
      <c r="A94" s="741"/>
      <c r="B94" s="742"/>
      <c r="C94" s="742"/>
      <c r="D94" s="742"/>
      <c r="E94" s="312">
        <v>8</v>
      </c>
      <c r="F94" s="313">
        <f>'1.3 Frota Total'!E106</f>
        <v>0</v>
      </c>
      <c r="G94" s="313">
        <f>'1.3 Frota Total'!F106</f>
        <v>0</v>
      </c>
      <c r="H94" s="313">
        <f>'1.3 Frota Total'!G106</f>
        <v>0</v>
      </c>
      <c r="I94" s="351">
        <f>'1.3 Frota Total'!H106</f>
        <v>0</v>
      </c>
      <c r="J94" s="508">
        <f>1-SUM('A.IX.a. Deprec. veículos'!G19:G26)</f>
        <v>0.10181818181818203</v>
      </c>
    </row>
    <row r="95" spans="1:10" x14ac:dyDescent="0.25">
      <c r="A95" s="741"/>
      <c r="B95" s="742"/>
      <c r="C95" s="742"/>
      <c r="D95" s="742"/>
      <c r="E95" s="312">
        <v>9</v>
      </c>
      <c r="F95" s="313">
        <f>'1.3 Frota Total'!E107</f>
        <v>0</v>
      </c>
      <c r="G95" s="313">
        <f>'1.3 Frota Total'!F107</f>
        <v>0</v>
      </c>
      <c r="H95" s="313">
        <f>'1.3 Frota Total'!G107</f>
        <v>0</v>
      </c>
      <c r="I95" s="351">
        <f>'1.3 Frota Total'!H107</f>
        <v>0</v>
      </c>
      <c r="J95" s="508">
        <f>1-SUM('A.IX.a. Deprec. veículos'!G19:G27)</f>
        <v>6.7272727272727484E-2</v>
      </c>
    </row>
    <row r="96" spans="1:10" x14ac:dyDescent="0.25">
      <c r="A96" s="741"/>
      <c r="B96" s="742"/>
      <c r="C96" s="742"/>
      <c r="D96" s="742"/>
      <c r="E96" s="312">
        <v>10</v>
      </c>
      <c r="F96" s="313">
        <f>'1.3 Frota Total'!E108</f>
        <v>0</v>
      </c>
      <c r="G96" s="313">
        <f>'1.3 Frota Total'!F108</f>
        <v>0</v>
      </c>
      <c r="H96" s="313">
        <f>'1.3 Frota Total'!G108</f>
        <v>0</v>
      </c>
      <c r="I96" s="351">
        <f>'1.3 Frota Total'!H108</f>
        <v>0</v>
      </c>
      <c r="J96" s="508">
        <f>1-SUM('A.IX.a. Deprec. veículos'!G19:G28)</f>
        <v>5.0000000000000266E-2</v>
      </c>
    </row>
    <row r="97" spans="1:10" x14ac:dyDescent="0.25">
      <c r="A97" s="741"/>
      <c r="B97" s="742"/>
      <c r="C97" s="742"/>
      <c r="D97" s="742"/>
      <c r="E97" s="312">
        <v>11</v>
      </c>
      <c r="F97" s="313">
        <f>'1.3 Frota Total'!E109</f>
        <v>0</v>
      </c>
      <c r="G97" s="313">
        <f>'1.3 Frota Total'!F109</f>
        <v>0</v>
      </c>
      <c r="H97" s="313">
        <f>'1.3 Frota Total'!G109</f>
        <v>0</v>
      </c>
      <c r="I97" s="351">
        <f>'1.3 Frota Total'!H109</f>
        <v>0</v>
      </c>
      <c r="J97" s="508">
        <f>1-SUM('A.IX.a. Deprec. veículos'!G19:G29)</f>
        <v>5.0000000000000266E-2</v>
      </c>
    </row>
    <row r="98" spans="1:10" ht="15.75" thickBot="1" x14ac:dyDescent="0.3">
      <c r="A98" s="744"/>
      <c r="B98" s="745"/>
      <c r="C98" s="745"/>
      <c r="D98" s="745"/>
      <c r="E98" s="315">
        <v>12</v>
      </c>
      <c r="F98" s="313">
        <f>'1.3 Frota Total'!E110</f>
        <v>0</v>
      </c>
      <c r="G98" s="313">
        <f>'1.3 Frota Total'!F110</f>
        <v>0</v>
      </c>
      <c r="H98" s="313">
        <f>'1.3 Frota Total'!G110</f>
        <v>0</v>
      </c>
      <c r="I98" s="351">
        <f>'1.3 Frota Total'!H110</f>
        <v>0</v>
      </c>
      <c r="J98" s="509">
        <f>1-SUM('A.IX.a. Deprec. veículos'!G19:G30)</f>
        <v>5.0000000000000266E-2</v>
      </c>
    </row>
    <row r="101" spans="1:10" x14ac:dyDescent="0.25">
      <c r="A101" s="115" t="s">
        <v>730</v>
      </c>
      <c r="B101" s="78" t="s">
        <v>146</v>
      </c>
    </row>
    <row r="102" spans="1:10" x14ac:dyDescent="0.25">
      <c r="A102" s="597" t="s">
        <v>8</v>
      </c>
      <c r="B102" s="597"/>
      <c r="C102" s="597"/>
      <c r="D102" s="597"/>
      <c r="E102" s="767" t="s">
        <v>120</v>
      </c>
      <c r="F102" s="765" t="s">
        <v>6</v>
      </c>
      <c r="G102" s="766"/>
      <c r="H102" s="765" t="s">
        <v>7</v>
      </c>
      <c r="I102" s="766"/>
      <c r="J102" s="59"/>
    </row>
    <row r="103" spans="1:10" ht="15.75" thickBot="1" x14ac:dyDescent="0.3">
      <c r="A103" s="597"/>
      <c r="B103" s="597"/>
      <c r="C103" s="597"/>
      <c r="D103" s="597"/>
      <c r="E103" s="733"/>
      <c r="F103" s="129" t="s">
        <v>9</v>
      </c>
      <c r="G103" s="129" t="s">
        <v>10</v>
      </c>
      <c r="H103" s="129" t="s">
        <v>9</v>
      </c>
      <c r="I103" s="129" t="s">
        <v>10</v>
      </c>
      <c r="J103" s="59"/>
    </row>
    <row r="104" spans="1:10" x14ac:dyDescent="0.25">
      <c r="A104" s="768" t="s">
        <v>129</v>
      </c>
      <c r="B104" s="769"/>
      <c r="C104" s="769"/>
      <c r="D104" s="770"/>
      <c r="E104" s="325">
        <v>0</v>
      </c>
      <c r="F104" s="354">
        <f t="shared" ref="F104:I108" si="0">F19*$J19</f>
        <v>0</v>
      </c>
      <c r="G104" s="354">
        <f t="shared" si="0"/>
        <v>0</v>
      </c>
      <c r="H104" s="354">
        <f t="shared" si="0"/>
        <v>0</v>
      </c>
      <c r="I104" s="355">
        <f t="shared" si="0"/>
        <v>0</v>
      </c>
      <c r="J104" s="59"/>
    </row>
    <row r="105" spans="1:10" x14ac:dyDescent="0.25">
      <c r="A105" s="725"/>
      <c r="B105" s="726"/>
      <c r="C105" s="726"/>
      <c r="D105" s="727"/>
      <c r="E105" s="328">
        <v>1</v>
      </c>
      <c r="F105" s="356">
        <f t="shared" si="0"/>
        <v>0</v>
      </c>
      <c r="G105" s="356">
        <f t="shared" si="0"/>
        <v>0</v>
      </c>
      <c r="H105" s="356">
        <f t="shared" si="0"/>
        <v>0</v>
      </c>
      <c r="I105" s="357">
        <f t="shared" si="0"/>
        <v>0</v>
      </c>
      <c r="J105" s="59"/>
    </row>
    <row r="106" spans="1:10" x14ac:dyDescent="0.25">
      <c r="A106" s="725"/>
      <c r="B106" s="726"/>
      <c r="C106" s="726"/>
      <c r="D106" s="727"/>
      <c r="E106" s="328">
        <v>2</v>
      </c>
      <c r="F106" s="356">
        <f t="shared" si="0"/>
        <v>0</v>
      </c>
      <c r="G106" s="356">
        <f t="shared" si="0"/>
        <v>0</v>
      </c>
      <c r="H106" s="356">
        <f t="shared" si="0"/>
        <v>0</v>
      </c>
      <c r="I106" s="357">
        <f t="shared" si="0"/>
        <v>0</v>
      </c>
      <c r="J106" s="59"/>
    </row>
    <row r="107" spans="1:10" x14ac:dyDescent="0.25">
      <c r="A107" s="725"/>
      <c r="B107" s="726"/>
      <c r="C107" s="726"/>
      <c r="D107" s="727"/>
      <c r="E107" s="328">
        <v>3</v>
      </c>
      <c r="F107" s="356">
        <f t="shared" si="0"/>
        <v>0</v>
      </c>
      <c r="G107" s="356">
        <f t="shared" si="0"/>
        <v>0</v>
      </c>
      <c r="H107" s="356">
        <f t="shared" si="0"/>
        <v>0</v>
      </c>
      <c r="I107" s="357">
        <f t="shared" si="0"/>
        <v>0</v>
      </c>
      <c r="J107" s="59"/>
    </row>
    <row r="108" spans="1:10" x14ac:dyDescent="0.25">
      <c r="A108" s="725"/>
      <c r="B108" s="726"/>
      <c r="C108" s="726"/>
      <c r="D108" s="727"/>
      <c r="E108" s="328">
        <v>4</v>
      </c>
      <c r="F108" s="356">
        <f t="shared" si="0"/>
        <v>0</v>
      </c>
      <c r="G108" s="356">
        <f t="shared" si="0"/>
        <v>0</v>
      </c>
      <c r="H108" s="356">
        <f t="shared" si="0"/>
        <v>0</v>
      </c>
      <c r="I108" s="357">
        <f t="shared" si="0"/>
        <v>0</v>
      </c>
      <c r="J108" s="59"/>
    </row>
    <row r="109" spans="1:10" x14ac:dyDescent="0.25">
      <c r="A109" s="725"/>
      <c r="B109" s="726"/>
      <c r="C109" s="726"/>
      <c r="D109" s="727"/>
      <c r="E109" s="328">
        <v>5</v>
      </c>
      <c r="F109" s="356">
        <f t="shared" ref="F109:I109" si="1">F24*$J24</f>
        <v>3.8</v>
      </c>
      <c r="G109" s="356">
        <f t="shared" si="1"/>
        <v>0</v>
      </c>
      <c r="H109" s="356">
        <f t="shared" si="1"/>
        <v>0</v>
      </c>
      <c r="I109" s="357">
        <f t="shared" si="1"/>
        <v>0</v>
      </c>
      <c r="J109" s="59"/>
    </row>
    <row r="110" spans="1:10" x14ac:dyDescent="0.25">
      <c r="A110" s="725"/>
      <c r="B110" s="726"/>
      <c r="C110" s="726"/>
      <c r="D110" s="727"/>
      <c r="E110" s="328">
        <v>6</v>
      </c>
      <c r="F110" s="356">
        <f t="shared" ref="F110:I110" si="2">F25*$J25</f>
        <v>0</v>
      </c>
      <c r="G110" s="356">
        <f t="shared" si="2"/>
        <v>0</v>
      </c>
      <c r="H110" s="356">
        <f t="shared" si="2"/>
        <v>0</v>
      </c>
      <c r="I110" s="357">
        <f t="shared" si="2"/>
        <v>0</v>
      </c>
      <c r="J110" s="59"/>
    </row>
    <row r="111" spans="1:10" x14ac:dyDescent="0.25">
      <c r="A111" s="725"/>
      <c r="B111" s="726"/>
      <c r="C111" s="726"/>
      <c r="D111" s="727"/>
      <c r="E111" s="328">
        <v>7</v>
      </c>
      <c r="F111" s="356">
        <f t="shared" ref="F111:I111" si="3">F26*$J26</f>
        <v>0</v>
      </c>
      <c r="G111" s="356">
        <f t="shared" si="3"/>
        <v>0</v>
      </c>
      <c r="H111" s="356">
        <f t="shared" si="3"/>
        <v>0</v>
      </c>
      <c r="I111" s="357">
        <f t="shared" si="3"/>
        <v>0</v>
      </c>
      <c r="J111" s="59"/>
    </row>
    <row r="112" spans="1:10" x14ac:dyDescent="0.25">
      <c r="A112" s="725"/>
      <c r="B112" s="726"/>
      <c r="C112" s="726"/>
      <c r="D112" s="727"/>
      <c r="E112" s="328">
        <v>8</v>
      </c>
      <c r="F112" s="356">
        <f t="shared" ref="F112:I112" si="4">F27*$J27</f>
        <v>0</v>
      </c>
      <c r="G112" s="356">
        <f t="shared" si="4"/>
        <v>0</v>
      </c>
      <c r="H112" s="356">
        <f t="shared" si="4"/>
        <v>0</v>
      </c>
      <c r="I112" s="357">
        <f t="shared" si="4"/>
        <v>0</v>
      </c>
      <c r="J112" s="59"/>
    </row>
    <row r="113" spans="1:10" x14ac:dyDescent="0.25">
      <c r="A113" s="725"/>
      <c r="B113" s="726"/>
      <c r="C113" s="726"/>
      <c r="D113" s="727"/>
      <c r="E113" s="328">
        <v>9</v>
      </c>
      <c r="F113" s="356">
        <f t="shared" ref="F113:I113" si="5">F28*$J28</f>
        <v>0</v>
      </c>
      <c r="G113" s="356">
        <f t="shared" si="5"/>
        <v>0</v>
      </c>
      <c r="H113" s="356">
        <f t="shared" si="5"/>
        <v>0</v>
      </c>
      <c r="I113" s="357">
        <f t="shared" si="5"/>
        <v>0</v>
      </c>
      <c r="J113" s="59"/>
    </row>
    <row r="114" spans="1:10" ht="15.75" thickBot="1" x14ac:dyDescent="0.3">
      <c r="A114" s="771"/>
      <c r="B114" s="772"/>
      <c r="C114" s="772"/>
      <c r="D114" s="773"/>
      <c r="E114" s="328">
        <v>10</v>
      </c>
      <c r="F114" s="356">
        <f t="shared" ref="F114:I114" si="6">F29*$J29</f>
        <v>0</v>
      </c>
      <c r="G114" s="356">
        <f t="shared" si="6"/>
        <v>0</v>
      </c>
      <c r="H114" s="356">
        <f t="shared" si="6"/>
        <v>0</v>
      </c>
      <c r="I114" s="357">
        <f t="shared" si="6"/>
        <v>0</v>
      </c>
      <c r="J114" s="59"/>
    </row>
    <row r="115" spans="1:10" x14ac:dyDescent="0.25">
      <c r="A115" s="768" t="s">
        <v>12</v>
      </c>
      <c r="B115" s="769"/>
      <c r="C115" s="769"/>
      <c r="D115" s="770"/>
      <c r="E115" s="325">
        <v>0</v>
      </c>
      <c r="F115" s="354">
        <f t="shared" ref="F115:I128" si="7">F30*$J30</f>
        <v>0</v>
      </c>
      <c r="G115" s="354">
        <f t="shared" si="7"/>
        <v>0</v>
      </c>
      <c r="H115" s="354">
        <f t="shared" si="7"/>
        <v>0</v>
      </c>
      <c r="I115" s="355">
        <f t="shared" si="7"/>
        <v>0</v>
      </c>
      <c r="J115" s="59"/>
    </row>
    <row r="116" spans="1:10" x14ac:dyDescent="0.25">
      <c r="A116" s="725"/>
      <c r="B116" s="726"/>
      <c r="C116" s="726"/>
      <c r="D116" s="727"/>
      <c r="E116" s="328">
        <v>1</v>
      </c>
      <c r="F116" s="356">
        <f t="shared" si="7"/>
        <v>0</v>
      </c>
      <c r="G116" s="356">
        <f t="shared" si="7"/>
        <v>0</v>
      </c>
      <c r="H116" s="356">
        <f t="shared" si="7"/>
        <v>0</v>
      </c>
      <c r="I116" s="357">
        <f t="shared" si="7"/>
        <v>0</v>
      </c>
      <c r="J116" s="59"/>
    </row>
    <row r="117" spans="1:10" x14ac:dyDescent="0.25">
      <c r="A117" s="725"/>
      <c r="B117" s="726"/>
      <c r="C117" s="726"/>
      <c r="D117" s="727"/>
      <c r="E117" s="328">
        <v>2</v>
      </c>
      <c r="F117" s="356">
        <f t="shared" si="7"/>
        <v>0</v>
      </c>
      <c r="G117" s="356">
        <f t="shared" si="7"/>
        <v>0</v>
      </c>
      <c r="H117" s="356">
        <f t="shared" si="7"/>
        <v>0</v>
      </c>
      <c r="I117" s="357">
        <f t="shared" si="7"/>
        <v>0</v>
      </c>
      <c r="J117" s="59"/>
    </row>
    <row r="118" spans="1:10" x14ac:dyDescent="0.25">
      <c r="A118" s="725"/>
      <c r="B118" s="726"/>
      <c r="C118" s="726"/>
      <c r="D118" s="727"/>
      <c r="E118" s="328">
        <v>3</v>
      </c>
      <c r="F118" s="356">
        <f t="shared" si="7"/>
        <v>0</v>
      </c>
      <c r="G118" s="356">
        <f t="shared" si="7"/>
        <v>0</v>
      </c>
      <c r="H118" s="356">
        <f t="shared" si="7"/>
        <v>0</v>
      </c>
      <c r="I118" s="357">
        <f t="shared" si="7"/>
        <v>0</v>
      </c>
      <c r="J118" s="59"/>
    </row>
    <row r="119" spans="1:10" x14ac:dyDescent="0.25">
      <c r="A119" s="725"/>
      <c r="B119" s="726"/>
      <c r="C119" s="726"/>
      <c r="D119" s="727"/>
      <c r="E119" s="328">
        <v>4</v>
      </c>
      <c r="F119" s="356">
        <f t="shared" si="7"/>
        <v>0</v>
      </c>
      <c r="G119" s="356">
        <f t="shared" si="7"/>
        <v>0</v>
      </c>
      <c r="H119" s="356">
        <f t="shared" si="7"/>
        <v>0</v>
      </c>
      <c r="I119" s="357">
        <f t="shared" si="7"/>
        <v>0</v>
      </c>
      <c r="J119" s="59"/>
    </row>
    <row r="120" spans="1:10" ht="15.75" thickBot="1" x14ac:dyDescent="0.3">
      <c r="A120" s="728"/>
      <c r="B120" s="729"/>
      <c r="C120" s="729"/>
      <c r="D120" s="730"/>
      <c r="E120" s="360">
        <v>5</v>
      </c>
      <c r="F120" s="361">
        <f t="shared" si="7"/>
        <v>0</v>
      </c>
      <c r="G120" s="361">
        <f t="shared" si="7"/>
        <v>0</v>
      </c>
      <c r="H120" s="361">
        <f t="shared" si="7"/>
        <v>0</v>
      </c>
      <c r="I120" s="362">
        <f t="shared" si="7"/>
        <v>0</v>
      </c>
      <c r="J120" s="59"/>
    </row>
    <row r="121" spans="1:10" x14ac:dyDescent="0.25">
      <c r="A121" s="725" t="s">
        <v>13</v>
      </c>
      <c r="B121" s="726"/>
      <c r="C121" s="726"/>
      <c r="D121" s="727"/>
      <c r="E121" s="325">
        <v>0</v>
      </c>
      <c r="F121" s="354">
        <f t="shared" si="7"/>
        <v>0</v>
      </c>
      <c r="G121" s="354">
        <f t="shared" si="7"/>
        <v>0</v>
      </c>
      <c r="H121" s="354">
        <f t="shared" si="7"/>
        <v>0</v>
      </c>
      <c r="I121" s="355">
        <f t="shared" si="7"/>
        <v>0</v>
      </c>
      <c r="J121" s="59"/>
    </row>
    <row r="122" spans="1:10" x14ac:dyDescent="0.25">
      <c r="A122" s="725"/>
      <c r="B122" s="726"/>
      <c r="C122" s="726"/>
      <c r="D122" s="727"/>
      <c r="E122" s="328">
        <v>1</v>
      </c>
      <c r="F122" s="356">
        <f t="shared" si="7"/>
        <v>0</v>
      </c>
      <c r="G122" s="356">
        <f t="shared" si="7"/>
        <v>0</v>
      </c>
      <c r="H122" s="356">
        <f t="shared" si="7"/>
        <v>0</v>
      </c>
      <c r="I122" s="357">
        <f t="shared" si="7"/>
        <v>0</v>
      </c>
      <c r="J122" s="59"/>
    </row>
    <row r="123" spans="1:10" x14ac:dyDescent="0.25">
      <c r="A123" s="725"/>
      <c r="B123" s="726"/>
      <c r="C123" s="726"/>
      <c r="D123" s="727"/>
      <c r="E123" s="328">
        <v>2</v>
      </c>
      <c r="F123" s="356">
        <f t="shared" si="7"/>
        <v>0</v>
      </c>
      <c r="G123" s="356">
        <f t="shared" si="7"/>
        <v>0</v>
      </c>
      <c r="H123" s="356">
        <f t="shared" si="7"/>
        <v>0</v>
      </c>
      <c r="I123" s="357">
        <f t="shared" si="7"/>
        <v>0</v>
      </c>
      <c r="J123" s="59"/>
    </row>
    <row r="124" spans="1:10" x14ac:dyDescent="0.25">
      <c r="A124" s="725"/>
      <c r="B124" s="726"/>
      <c r="C124" s="726"/>
      <c r="D124" s="727"/>
      <c r="E124" s="328">
        <v>3</v>
      </c>
      <c r="F124" s="356">
        <f t="shared" si="7"/>
        <v>0</v>
      </c>
      <c r="G124" s="356">
        <f t="shared" si="7"/>
        <v>0</v>
      </c>
      <c r="H124" s="356">
        <f t="shared" si="7"/>
        <v>0</v>
      </c>
      <c r="I124" s="357">
        <f t="shared" si="7"/>
        <v>0</v>
      </c>
      <c r="J124" s="59"/>
    </row>
    <row r="125" spans="1:10" x14ac:dyDescent="0.25">
      <c r="A125" s="725"/>
      <c r="B125" s="726"/>
      <c r="C125" s="726"/>
      <c r="D125" s="727"/>
      <c r="E125" s="328">
        <v>4</v>
      </c>
      <c r="F125" s="356">
        <f t="shared" si="7"/>
        <v>0</v>
      </c>
      <c r="G125" s="356">
        <f t="shared" si="7"/>
        <v>0</v>
      </c>
      <c r="H125" s="356">
        <f t="shared" si="7"/>
        <v>0</v>
      </c>
      <c r="I125" s="357">
        <f t="shared" si="7"/>
        <v>0</v>
      </c>
      <c r="J125" s="59"/>
    </row>
    <row r="126" spans="1:10" x14ac:dyDescent="0.25">
      <c r="A126" s="725"/>
      <c r="B126" s="726"/>
      <c r="C126" s="726"/>
      <c r="D126" s="727"/>
      <c r="E126" s="328">
        <v>5</v>
      </c>
      <c r="F126" s="356">
        <f t="shared" si="7"/>
        <v>4.4909090909090912</v>
      </c>
      <c r="G126" s="356">
        <f t="shared" si="7"/>
        <v>0</v>
      </c>
      <c r="H126" s="356">
        <f t="shared" si="7"/>
        <v>4.4909090909090912</v>
      </c>
      <c r="I126" s="357">
        <f t="shared" si="7"/>
        <v>0</v>
      </c>
      <c r="J126" s="59"/>
    </row>
    <row r="127" spans="1:10" x14ac:dyDescent="0.25">
      <c r="A127" s="725"/>
      <c r="B127" s="726"/>
      <c r="C127" s="726"/>
      <c r="D127" s="727"/>
      <c r="E127" s="328">
        <v>6</v>
      </c>
      <c r="F127" s="356">
        <f t="shared" si="7"/>
        <v>0</v>
      </c>
      <c r="G127" s="356">
        <f t="shared" si="7"/>
        <v>0</v>
      </c>
      <c r="H127" s="356">
        <f t="shared" si="7"/>
        <v>0</v>
      </c>
      <c r="I127" s="357">
        <f t="shared" si="7"/>
        <v>0</v>
      </c>
      <c r="J127" s="59"/>
    </row>
    <row r="128" spans="1:10" x14ac:dyDescent="0.25">
      <c r="A128" s="725"/>
      <c r="B128" s="726"/>
      <c r="C128" s="726"/>
      <c r="D128" s="727"/>
      <c r="E128" s="328">
        <v>7</v>
      </c>
      <c r="F128" s="356">
        <f t="shared" si="7"/>
        <v>0</v>
      </c>
      <c r="G128" s="356">
        <f t="shared" si="7"/>
        <v>0</v>
      </c>
      <c r="H128" s="356">
        <f t="shared" si="7"/>
        <v>0</v>
      </c>
      <c r="I128" s="357">
        <f t="shared" si="7"/>
        <v>0</v>
      </c>
      <c r="J128" s="59"/>
    </row>
    <row r="129" spans="1:10" x14ac:dyDescent="0.25">
      <c r="A129" s="725"/>
      <c r="B129" s="726"/>
      <c r="C129" s="726"/>
      <c r="D129" s="727"/>
      <c r="E129" s="328">
        <v>8</v>
      </c>
      <c r="F129" s="356">
        <f t="shared" ref="F129:I129" si="8">F44*$J44</f>
        <v>0</v>
      </c>
      <c r="G129" s="356">
        <f t="shared" si="8"/>
        <v>0</v>
      </c>
      <c r="H129" s="356">
        <f t="shared" si="8"/>
        <v>0</v>
      </c>
      <c r="I129" s="357">
        <f t="shared" si="8"/>
        <v>0</v>
      </c>
      <c r="J129" s="59"/>
    </row>
    <row r="130" spans="1:10" x14ac:dyDescent="0.25">
      <c r="A130" s="725"/>
      <c r="B130" s="726"/>
      <c r="C130" s="726"/>
      <c r="D130" s="727"/>
      <c r="E130" s="328">
        <v>9</v>
      </c>
      <c r="F130" s="356">
        <f t="shared" ref="F130:I130" si="9">F45*$J45</f>
        <v>0</v>
      </c>
      <c r="G130" s="356">
        <f t="shared" si="9"/>
        <v>0</v>
      </c>
      <c r="H130" s="356">
        <f t="shared" si="9"/>
        <v>0</v>
      </c>
      <c r="I130" s="357">
        <f t="shared" si="9"/>
        <v>0</v>
      </c>
      <c r="J130" s="59"/>
    </row>
    <row r="131" spans="1:10" x14ac:dyDescent="0.25">
      <c r="A131" s="725"/>
      <c r="B131" s="726"/>
      <c r="C131" s="726"/>
      <c r="D131" s="727"/>
      <c r="E131" s="328">
        <v>10</v>
      </c>
      <c r="F131" s="356">
        <f t="shared" ref="F131:I131" si="10">F46*$J46</f>
        <v>0</v>
      </c>
      <c r="G131" s="356">
        <f t="shared" si="10"/>
        <v>0</v>
      </c>
      <c r="H131" s="356">
        <f t="shared" si="10"/>
        <v>0</v>
      </c>
      <c r="I131" s="357">
        <f t="shared" si="10"/>
        <v>0</v>
      </c>
      <c r="J131" s="59"/>
    </row>
    <row r="132" spans="1:10" x14ac:dyDescent="0.25">
      <c r="A132" s="725"/>
      <c r="B132" s="726"/>
      <c r="C132" s="726"/>
      <c r="D132" s="727"/>
      <c r="E132" s="328">
        <v>11</v>
      </c>
      <c r="F132" s="356">
        <f t="shared" ref="F132:I132" si="11">F47*$J47</f>
        <v>0</v>
      </c>
      <c r="G132" s="356">
        <f t="shared" si="11"/>
        <v>0</v>
      </c>
      <c r="H132" s="356">
        <f t="shared" si="11"/>
        <v>0</v>
      </c>
      <c r="I132" s="357">
        <f t="shared" si="11"/>
        <v>0</v>
      </c>
      <c r="J132" s="59"/>
    </row>
    <row r="133" spans="1:10" ht="15.75" thickBot="1" x14ac:dyDescent="0.3">
      <c r="A133" s="771"/>
      <c r="B133" s="772"/>
      <c r="C133" s="772"/>
      <c r="D133" s="773"/>
      <c r="E133" s="360">
        <v>12</v>
      </c>
      <c r="F133" s="361">
        <f t="shared" ref="F133:I133" si="12">F48*$J48</f>
        <v>0</v>
      </c>
      <c r="G133" s="361">
        <f t="shared" si="12"/>
        <v>0</v>
      </c>
      <c r="H133" s="361">
        <f t="shared" si="12"/>
        <v>0</v>
      </c>
      <c r="I133" s="362">
        <f t="shared" si="12"/>
        <v>0</v>
      </c>
      <c r="J133" s="59"/>
    </row>
    <row r="134" spans="1:10" x14ac:dyDescent="0.25">
      <c r="A134" s="725" t="s">
        <v>14</v>
      </c>
      <c r="B134" s="726"/>
      <c r="C134" s="726"/>
      <c r="D134" s="727"/>
      <c r="E134" s="325">
        <v>0</v>
      </c>
      <c r="F134" s="354">
        <f t="shared" ref="F134:I141" si="13">F49*$J49</f>
        <v>0</v>
      </c>
      <c r="G134" s="354">
        <f t="shared" si="13"/>
        <v>0</v>
      </c>
      <c r="H134" s="354">
        <f t="shared" si="13"/>
        <v>0</v>
      </c>
      <c r="I134" s="355">
        <f t="shared" si="13"/>
        <v>0</v>
      </c>
      <c r="J134" s="59"/>
    </row>
    <row r="135" spans="1:10" x14ac:dyDescent="0.25">
      <c r="A135" s="725"/>
      <c r="B135" s="726"/>
      <c r="C135" s="726"/>
      <c r="D135" s="727"/>
      <c r="E135" s="328">
        <v>1</v>
      </c>
      <c r="F135" s="356">
        <f t="shared" si="13"/>
        <v>0</v>
      </c>
      <c r="G135" s="356">
        <f t="shared" si="13"/>
        <v>0</v>
      </c>
      <c r="H135" s="356">
        <f t="shared" si="13"/>
        <v>0</v>
      </c>
      <c r="I135" s="357">
        <f t="shared" si="13"/>
        <v>0</v>
      </c>
      <c r="J135" s="59"/>
    </row>
    <row r="136" spans="1:10" x14ac:dyDescent="0.25">
      <c r="A136" s="725"/>
      <c r="B136" s="726"/>
      <c r="C136" s="726"/>
      <c r="D136" s="727"/>
      <c r="E136" s="328">
        <v>2</v>
      </c>
      <c r="F136" s="356">
        <f t="shared" si="13"/>
        <v>0</v>
      </c>
      <c r="G136" s="356">
        <f t="shared" si="13"/>
        <v>0</v>
      </c>
      <c r="H136" s="356">
        <f t="shared" si="13"/>
        <v>0</v>
      </c>
      <c r="I136" s="357">
        <f t="shared" si="13"/>
        <v>0</v>
      </c>
      <c r="J136" s="59"/>
    </row>
    <row r="137" spans="1:10" x14ac:dyDescent="0.25">
      <c r="A137" s="725"/>
      <c r="B137" s="726"/>
      <c r="C137" s="726"/>
      <c r="D137" s="727"/>
      <c r="E137" s="328">
        <v>3</v>
      </c>
      <c r="F137" s="356">
        <f t="shared" si="13"/>
        <v>0</v>
      </c>
      <c r="G137" s="356">
        <f t="shared" si="13"/>
        <v>0</v>
      </c>
      <c r="H137" s="356">
        <f t="shared" si="13"/>
        <v>0</v>
      </c>
      <c r="I137" s="357">
        <f t="shared" si="13"/>
        <v>0</v>
      </c>
      <c r="J137" s="59"/>
    </row>
    <row r="138" spans="1:10" x14ac:dyDescent="0.25">
      <c r="A138" s="725"/>
      <c r="B138" s="726"/>
      <c r="C138" s="726"/>
      <c r="D138" s="727"/>
      <c r="E138" s="328">
        <v>4</v>
      </c>
      <c r="F138" s="356">
        <f t="shared" si="13"/>
        <v>0</v>
      </c>
      <c r="G138" s="356">
        <f t="shared" si="13"/>
        <v>0</v>
      </c>
      <c r="H138" s="356">
        <f t="shared" si="13"/>
        <v>0</v>
      </c>
      <c r="I138" s="357">
        <f t="shared" si="13"/>
        <v>0</v>
      </c>
      <c r="J138" s="59"/>
    </row>
    <row r="139" spans="1:10" x14ac:dyDescent="0.25">
      <c r="A139" s="725"/>
      <c r="B139" s="726"/>
      <c r="C139" s="726"/>
      <c r="D139" s="727"/>
      <c r="E139" s="328">
        <v>5</v>
      </c>
      <c r="F139" s="356">
        <f t="shared" si="13"/>
        <v>0</v>
      </c>
      <c r="G139" s="356">
        <f t="shared" si="13"/>
        <v>0</v>
      </c>
      <c r="H139" s="356">
        <f t="shared" si="13"/>
        <v>1.7272727272727273</v>
      </c>
      <c r="I139" s="357">
        <f t="shared" si="13"/>
        <v>0</v>
      </c>
      <c r="J139" s="59"/>
    </row>
    <row r="140" spans="1:10" x14ac:dyDescent="0.25">
      <c r="A140" s="725"/>
      <c r="B140" s="726"/>
      <c r="C140" s="726"/>
      <c r="D140" s="727"/>
      <c r="E140" s="328">
        <v>6</v>
      </c>
      <c r="F140" s="356">
        <f t="shared" si="13"/>
        <v>0</v>
      </c>
      <c r="G140" s="356">
        <f t="shared" si="13"/>
        <v>0</v>
      </c>
      <c r="H140" s="356">
        <f t="shared" si="13"/>
        <v>0</v>
      </c>
      <c r="I140" s="357">
        <f t="shared" si="13"/>
        <v>0</v>
      </c>
      <c r="J140" s="59"/>
    </row>
    <row r="141" spans="1:10" x14ac:dyDescent="0.25">
      <c r="A141" s="725"/>
      <c r="B141" s="726"/>
      <c r="C141" s="726"/>
      <c r="D141" s="727"/>
      <c r="E141" s="328">
        <v>7</v>
      </c>
      <c r="F141" s="356">
        <f t="shared" si="13"/>
        <v>0</v>
      </c>
      <c r="G141" s="356">
        <f t="shared" si="13"/>
        <v>0</v>
      </c>
      <c r="H141" s="356">
        <f t="shared" si="13"/>
        <v>0</v>
      </c>
      <c r="I141" s="357">
        <f t="shared" si="13"/>
        <v>0</v>
      </c>
      <c r="J141" s="59"/>
    </row>
    <row r="142" spans="1:10" x14ac:dyDescent="0.25">
      <c r="A142" s="725"/>
      <c r="B142" s="726"/>
      <c r="C142" s="726"/>
      <c r="D142" s="727"/>
      <c r="E142" s="328">
        <v>8</v>
      </c>
      <c r="F142" s="356">
        <f t="shared" ref="F142:I142" si="14">F57*$J57</f>
        <v>0</v>
      </c>
      <c r="G142" s="356">
        <f t="shared" si="14"/>
        <v>0</v>
      </c>
      <c r="H142" s="356">
        <f t="shared" si="14"/>
        <v>0</v>
      </c>
      <c r="I142" s="357">
        <f t="shared" si="14"/>
        <v>0</v>
      </c>
      <c r="J142" s="59"/>
    </row>
    <row r="143" spans="1:10" x14ac:dyDescent="0.25">
      <c r="A143" s="725"/>
      <c r="B143" s="726"/>
      <c r="C143" s="726"/>
      <c r="D143" s="727"/>
      <c r="E143" s="328">
        <v>9</v>
      </c>
      <c r="F143" s="356">
        <f t="shared" ref="F143:I143" si="15">F58*$J58</f>
        <v>0</v>
      </c>
      <c r="G143" s="356">
        <f t="shared" si="15"/>
        <v>0</v>
      </c>
      <c r="H143" s="356">
        <f t="shared" si="15"/>
        <v>0</v>
      </c>
      <c r="I143" s="357">
        <f t="shared" si="15"/>
        <v>0</v>
      </c>
      <c r="J143" s="59"/>
    </row>
    <row r="144" spans="1:10" x14ac:dyDescent="0.25">
      <c r="A144" s="725"/>
      <c r="B144" s="726"/>
      <c r="C144" s="726"/>
      <c r="D144" s="727"/>
      <c r="E144" s="328">
        <v>10</v>
      </c>
      <c r="F144" s="356">
        <f t="shared" ref="F144:I144" si="16">F59*$J59</f>
        <v>0</v>
      </c>
      <c r="G144" s="356">
        <f t="shared" si="16"/>
        <v>0</v>
      </c>
      <c r="H144" s="356">
        <f t="shared" si="16"/>
        <v>0</v>
      </c>
      <c r="I144" s="357">
        <f t="shared" si="16"/>
        <v>0</v>
      </c>
      <c r="J144" s="59"/>
    </row>
    <row r="145" spans="1:10" x14ac:dyDescent="0.25">
      <c r="A145" s="725"/>
      <c r="B145" s="726"/>
      <c r="C145" s="726"/>
      <c r="D145" s="727"/>
      <c r="E145" s="328">
        <v>11</v>
      </c>
      <c r="F145" s="356">
        <f t="shared" ref="F145:I145" si="17">F60*$J60</f>
        <v>0</v>
      </c>
      <c r="G145" s="356">
        <f t="shared" si="17"/>
        <v>0</v>
      </c>
      <c r="H145" s="356">
        <f t="shared" si="17"/>
        <v>0</v>
      </c>
      <c r="I145" s="357">
        <f t="shared" si="17"/>
        <v>0</v>
      </c>
      <c r="J145" s="59"/>
    </row>
    <row r="146" spans="1:10" ht="15.75" thickBot="1" x14ac:dyDescent="0.3">
      <c r="A146" s="771"/>
      <c r="B146" s="772"/>
      <c r="C146" s="772"/>
      <c r="D146" s="773"/>
      <c r="E146" s="328">
        <v>12</v>
      </c>
      <c r="F146" s="356">
        <f t="shared" ref="F146:I146" si="18">F61*$J61</f>
        <v>0</v>
      </c>
      <c r="G146" s="356">
        <f t="shared" si="18"/>
        <v>0</v>
      </c>
      <c r="H146" s="356">
        <f t="shared" si="18"/>
        <v>0</v>
      </c>
      <c r="I146" s="357">
        <f t="shared" si="18"/>
        <v>0</v>
      </c>
      <c r="J146" s="59"/>
    </row>
    <row r="147" spans="1:10" x14ac:dyDescent="0.25">
      <c r="A147" s="768" t="s">
        <v>15</v>
      </c>
      <c r="B147" s="769"/>
      <c r="C147" s="769"/>
      <c r="D147" s="770"/>
      <c r="E147" s="325">
        <v>0</v>
      </c>
      <c r="F147" s="354">
        <f t="shared" ref="F147:I156" si="19">F62*$J62</f>
        <v>0</v>
      </c>
      <c r="G147" s="354">
        <f t="shared" si="19"/>
        <v>0</v>
      </c>
      <c r="H147" s="354">
        <f t="shared" si="19"/>
        <v>0</v>
      </c>
      <c r="I147" s="355">
        <f t="shared" si="19"/>
        <v>0</v>
      </c>
      <c r="J147" s="59"/>
    </row>
    <row r="148" spans="1:10" x14ac:dyDescent="0.25">
      <c r="A148" s="725"/>
      <c r="B148" s="726"/>
      <c r="C148" s="726"/>
      <c r="D148" s="727"/>
      <c r="E148" s="328">
        <v>1</v>
      </c>
      <c r="F148" s="356">
        <f t="shared" si="19"/>
        <v>0</v>
      </c>
      <c r="G148" s="356">
        <f t="shared" si="19"/>
        <v>0</v>
      </c>
      <c r="H148" s="356">
        <f t="shared" si="19"/>
        <v>0</v>
      </c>
      <c r="I148" s="357">
        <f t="shared" si="19"/>
        <v>0</v>
      </c>
      <c r="J148" s="59"/>
    </row>
    <row r="149" spans="1:10" x14ac:dyDescent="0.25">
      <c r="A149" s="725"/>
      <c r="B149" s="726"/>
      <c r="C149" s="726"/>
      <c r="D149" s="727"/>
      <c r="E149" s="328">
        <v>2</v>
      </c>
      <c r="F149" s="356">
        <f t="shared" si="19"/>
        <v>0</v>
      </c>
      <c r="G149" s="356">
        <f t="shared" si="19"/>
        <v>0</v>
      </c>
      <c r="H149" s="356">
        <f t="shared" si="19"/>
        <v>0</v>
      </c>
      <c r="I149" s="357">
        <f t="shared" si="19"/>
        <v>0</v>
      </c>
      <c r="J149" s="59"/>
    </row>
    <row r="150" spans="1:10" x14ac:dyDescent="0.25">
      <c r="A150" s="725"/>
      <c r="B150" s="726"/>
      <c r="C150" s="726"/>
      <c r="D150" s="727"/>
      <c r="E150" s="328">
        <v>3</v>
      </c>
      <c r="F150" s="356">
        <f t="shared" si="19"/>
        <v>0</v>
      </c>
      <c r="G150" s="356">
        <f t="shared" si="19"/>
        <v>0</v>
      </c>
      <c r="H150" s="356">
        <f t="shared" si="19"/>
        <v>0</v>
      </c>
      <c r="I150" s="357">
        <f t="shared" si="19"/>
        <v>0</v>
      </c>
      <c r="J150" s="59"/>
    </row>
    <row r="151" spans="1:10" x14ac:dyDescent="0.25">
      <c r="A151" s="725"/>
      <c r="B151" s="726"/>
      <c r="C151" s="726"/>
      <c r="D151" s="727"/>
      <c r="E151" s="328">
        <v>4</v>
      </c>
      <c r="F151" s="356">
        <f t="shared" si="19"/>
        <v>0</v>
      </c>
      <c r="G151" s="356">
        <f t="shared" si="19"/>
        <v>0</v>
      </c>
      <c r="H151" s="356">
        <f t="shared" si="19"/>
        <v>0</v>
      </c>
      <c r="I151" s="357">
        <f t="shared" si="19"/>
        <v>0</v>
      </c>
      <c r="J151" s="59"/>
    </row>
    <row r="152" spans="1:10" x14ac:dyDescent="0.25">
      <c r="A152" s="725"/>
      <c r="B152" s="726"/>
      <c r="C152" s="726"/>
      <c r="D152" s="727"/>
      <c r="E152" s="328">
        <v>5</v>
      </c>
      <c r="F152" s="356">
        <f t="shared" si="19"/>
        <v>0</v>
      </c>
      <c r="G152" s="356">
        <f t="shared" si="19"/>
        <v>0</v>
      </c>
      <c r="H152" s="356">
        <f t="shared" si="19"/>
        <v>0</v>
      </c>
      <c r="I152" s="357">
        <f t="shared" si="19"/>
        <v>0</v>
      </c>
      <c r="J152" s="59"/>
    </row>
    <row r="153" spans="1:10" x14ac:dyDescent="0.25">
      <c r="A153" s="725"/>
      <c r="B153" s="726"/>
      <c r="C153" s="726"/>
      <c r="D153" s="727"/>
      <c r="E153" s="328">
        <v>6</v>
      </c>
      <c r="F153" s="356">
        <f t="shared" si="19"/>
        <v>0</v>
      </c>
      <c r="G153" s="356">
        <f t="shared" si="19"/>
        <v>0</v>
      </c>
      <c r="H153" s="356">
        <f t="shared" si="19"/>
        <v>0</v>
      </c>
      <c r="I153" s="357">
        <f t="shared" si="19"/>
        <v>0</v>
      </c>
      <c r="J153" s="59"/>
    </row>
    <row r="154" spans="1:10" x14ac:dyDescent="0.25">
      <c r="A154" s="725"/>
      <c r="B154" s="726"/>
      <c r="C154" s="726"/>
      <c r="D154" s="727"/>
      <c r="E154" s="328">
        <v>7</v>
      </c>
      <c r="F154" s="356">
        <f t="shared" si="19"/>
        <v>0</v>
      </c>
      <c r="G154" s="356">
        <f t="shared" si="19"/>
        <v>0</v>
      </c>
      <c r="H154" s="356">
        <f t="shared" si="19"/>
        <v>0</v>
      </c>
      <c r="I154" s="357">
        <f t="shared" si="19"/>
        <v>0</v>
      </c>
      <c r="J154" s="59"/>
    </row>
    <row r="155" spans="1:10" x14ac:dyDescent="0.25">
      <c r="A155" s="725"/>
      <c r="B155" s="726"/>
      <c r="C155" s="726"/>
      <c r="D155" s="727"/>
      <c r="E155" s="328">
        <v>8</v>
      </c>
      <c r="F155" s="356">
        <f t="shared" si="19"/>
        <v>0</v>
      </c>
      <c r="G155" s="356">
        <f t="shared" si="19"/>
        <v>0</v>
      </c>
      <c r="H155" s="356">
        <f t="shared" si="19"/>
        <v>0</v>
      </c>
      <c r="I155" s="357">
        <f t="shared" si="19"/>
        <v>0</v>
      </c>
      <c r="J155" s="59"/>
    </row>
    <row r="156" spans="1:10" x14ac:dyDescent="0.25">
      <c r="A156" s="725"/>
      <c r="B156" s="726"/>
      <c r="C156" s="726"/>
      <c r="D156" s="727"/>
      <c r="E156" s="328">
        <v>9</v>
      </c>
      <c r="F156" s="356">
        <f t="shared" si="19"/>
        <v>0</v>
      </c>
      <c r="G156" s="356">
        <f t="shared" si="19"/>
        <v>0</v>
      </c>
      <c r="H156" s="356">
        <f t="shared" si="19"/>
        <v>0</v>
      </c>
      <c r="I156" s="357">
        <f t="shared" si="19"/>
        <v>0</v>
      </c>
      <c r="J156" s="59"/>
    </row>
    <row r="157" spans="1:10" ht="15.75" thickBot="1" x14ac:dyDescent="0.3">
      <c r="A157" s="771"/>
      <c r="B157" s="772"/>
      <c r="C157" s="772"/>
      <c r="D157" s="773"/>
      <c r="E157" s="331">
        <v>10</v>
      </c>
      <c r="F157" s="358">
        <f t="shared" ref="F157:I176" si="20">F72*$J72</f>
        <v>0</v>
      </c>
      <c r="G157" s="358">
        <f t="shared" si="20"/>
        <v>0</v>
      </c>
      <c r="H157" s="358">
        <f t="shared" si="20"/>
        <v>0</v>
      </c>
      <c r="I157" s="359">
        <f t="shared" si="20"/>
        <v>0</v>
      </c>
      <c r="J157" s="59"/>
    </row>
    <row r="158" spans="1:10" x14ac:dyDescent="0.25">
      <c r="A158" s="774" t="s">
        <v>16</v>
      </c>
      <c r="B158" s="775"/>
      <c r="C158" s="775"/>
      <c r="D158" s="775"/>
      <c r="E158" s="325">
        <v>0</v>
      </c>
      <c r="F158" s="354">
        <f t="shared" si="20"/>
        <v>0</v>
      </c>
      <c r="G158" s="354">
        <f t="shared" si="20"/>
        <v>0</v>
      </c>
      <c r="H158" s="354">
        <f t="shared" si="20"/>
        <v>0</v>
      </c>
      <c r="I158" s="355">
        <f t="shared" si="20"/>
        <v>0</v>
      </c>
      <c r="J158" s="59"/>
    </row>
    <row r="159" spans="1:10" x14ac:dyDescent="0.25">
      <c r="A159" s="776"/>
      <c r="B159" s="731"/>
      <c r="C159" s="731"/>
      <c r="D159" s="731"/>
      <c r="E159" s="328">
        <v>1</v>
      </c>
      <c r="F159" s="356">
        <f t="shared" si="20"/>
        <v>0</v>
      </c>
      <c r="G159" s="356">
        <f t="shared" si="20"/>
        <v>0</v>
      </c>
      <c r="H159" s="356">
        <f t="shared" si="20"/>
        <v>0</v>
      </c>
      <c r="I159" s="357">
        <f t="shared" si="20"/>
        <v>0</v>
      </c>
      <c r="J159" s="59"/>
    </row>
    <row r="160" spans="1:10" x14ac:dyDescent="0.25">
      <c r="A160" s="776"/>
      <c r="B160" s="731"/>
      <c r="C160" s="731"/>
      <c r="D160" s="731"/>
      <c r="E160" s="328">
        <v>2</v>
      </c>
      <c r="F160" s="356">
        <f t="shared" si="20"/>
        <v>0</v>
      </c>
      <c r="G160" s="356">
        <f t="shared" si="20"/>
        <v>0</v>
      </c>
      <c r="H160" s="356">
        <f t="shared" si="20"/>
        <v>0</v>
      </c>
      <c r="I160" s="357">
        <f t="shared" si="20"/>
        <v>0</v>
      </c>
      <c r="J160" s="59"/>
    </row>
    <row r="161" spans="1:10" x14ac:dyDescent="0.25">
      <c r="A161" s="776"/>
      <c r="B161" s="731"/>
      <c r="C161" s="731"/>
      <c r="D161" s="731"/>
      <c r="E161" s="328">
        <v>3</v>
      </c>
      <c r="F161" s="356">
        <f t="shared" si="20"/>
        <v>0</v>
      </c>
      <c r="G161" s="356">
        <f t="shared" si="20"/>
        <v>0</v>
      </c>
      <c r="H161" s="356">
        <f t="shared" si="20"/>
        <v>0</v>
      </c>
      <c r="I161" s="357">
        <f t="shared" si="20"/>
        <v>0</v>
      </c>
      <c r="J161" s="59"/>
    </row>
    <row r="162" spans="1:10" x14ac:dyDescent="0.25">
      <c r="A162" s="776"/>
      <c r="B162" s="731"/>
      <c r="C162" s="731"/>
      <c r="D162" s="731"/>
      <c r="E162" s="328">
        <v>4</v>
      </c>
      <c r="F162" s="356">
        <f t="shared" si="20"/>
        <v>0</v>
      </c>
      <c r="G162" s="356">
        <f t="shared" si="20"/>
        <v>0</v>
      </c>
      <c r="H162" s="356">
        <f t="shared" si="20"/>
        <v>0</v>
      </c>
      <c r="I162" s="357">
        <f t="shared" si="20"/>
        <v>0</v>
      </c>
      <c r="J162" s="59"/>
    </row>
    <row r="163" spans="1:10" x14ac:dyDescent="0.25">
      <c r="A163" s="776"/>
      <c r="B163" s="731"/>
      <c r="C163" s="731"/>
      <c r="D163" s="731"/>
      <c r="E163" s="328">
        <v>5</v>
      </c>
      <c r="F163" s="356">
        <f t="shared" si="20"/>
        <v>0</v>
      </c>
      <c r="G163" s="356">
        <f t="shared" si="20"/>
        <v>0</v>
      </c>
      <c r="H163" s="356">
        <f t="shared" si="20"/>
        <v>0</v>
      </c>
      <c r="I163" s="357">
        <f t="shared" si="20"/>
        <v>0</v>
      </c>
      <c r="J163" s="59"/>
    </row>
    <row r="164" spans="1:10" x14ac:dyDescent="0.25">
      <c r="A164" s="776"/>
      <c r="B164" s="731"/>
      <c r="C164" s="731"/>
      <c r="D164" s="731"/>
      <c r="E164" s="328">
        <v>6</v>
      </c>
      <c r="F164" s="356">
        <f t="shared" si="20"/>
        <v>0</v>
      </c>
      <c r="G164" s="356">
        <f t="shared" si="20"/>
        <v>0</v>
      </c>
      <c r="H164" s="356">
        <f t="shared" si="20"/>
        <v>0</v>
      </c>
      <c r="I164" s="357">
        <f t="shared" si="20"/>
        <v>0</v>
      </c>
      <c r="J164" s="59"/>
    </row>
    <row r="165" spans="1:10" x14ac:dyDescent="0.25">
      <c r="A165" s="776"/>
      <c r="B165" s="731"/>
      <c r="C165" s="731"/>
      <c r="D165" s="731"/>
      <c r="E165" s="328">
        <v>7</v>
      </c>
      <c r="F165" s="356">
        <f t="shared" si="20"/>
        <v>0</v>
      </c>
      <c r="G165" s="356">
        <f t="shared" si="20"/>
        <v>0</v>
      </c>
      <c r="H165" s="356">
        <f t="shared" si="20"/>
        <v>0</v>
      </c>
      <c r="I165" s="357">
        <f t="shared" si="20"/>
        <v>0</v>
      </c>
      <c r="J165" s="59"/>
    </row>
    <row r="166" spans="1:10" x14ac:dyDescent="0.25">
      <c r="A166" s="776"/>
      <c r="B166" s="731"/>
      <c r="C166" s="731"/>
      <c r="D166" s="731"/>
      <c r="E166" s="328">
        <v>8</v>
      </c>
      <c r="F166" s="356">
        <f t="shared" si="20"/>
        <v>0</v>
      </c>
      <c r="G166" s="356">
        <f t="shared" si="20"/>
        <v>0</v>
      </c>
      <c r="H166" s="356">
        <f t="shared" si="20"/>
        <v>0</v>
      </c>
      <c r="I166" s="357">
        <f t="shared" si="20"/>
        <v>0</v>
      </c>
      <c r="J166" s="59"/>
    </row>
    <row r="167" spans="1:10" x14ac:dyDescent="0.25">
      <c r="A167" s="776"/>
      <c r="B167" s="731"/>
      <c r="C167" s="731"/>
      <c r="D167" s="731"/>
      <c r="E167" s="328">
        <v>9</v>
      </c>
      <c r="F167" s="356">
        <f t="shared" si="20"/>
        <v>0</v>
      </c>
      <c r="G167" s="356">
        <f t="shared" si="20"/>
        <v>0</v>
      </c>
      <c r="H167" s="356">
        <f t="shared" si="20"/>
        <v>0</v>
      </c>
      <c r="I167" s="357">
        <f t="shared" si="20"/>
        <v>0</v>
      </c>
      <c r="J167" s="59"/>
    </row>
    <row r="168" spans="1:10" x14ac:dyDescent="0.25">
      <c r="A168" s="776"/>
      <c r="B168" s="731"/>
      <c r="C168" s="731"/>
      <c r="D168" s="731"/>
      <c r="E168" s="328">
        <v>10</v>
      </c>
      <c r="F168" s="356">
        <f t="shared" si="20"/>
        <v>0</v>
      </c>
      <c r="G168" s="356">
        <f t="shared" si="20"/>
        <v>0</v>
      </c>
      <c r="H168" s="356">
        <f t="shared" si="20"/>
        <v>0</v>
      </c>
      <c r="I168" s="357">
        <f t="shared" si="20"/>
        <v>0</v>
      </c>
      <c r="J168" s="59"/>
    </row>
    <row r="169" spans="1:10" x14ac:dyDescent="0.25">
      <c r="A169" s="776"/>
      <c r="B169" s="731"/>
      <c r="C169" s="731"/>
      <c r="D169" s="731"/>
      <c r="E169" s="328">
        <v>11</v>
      </c>
      <c r="F169" s="356">
        <f t="shared" si="20"/>
        <v>0</v>
      </c>
      <c r="G169" s="356">
        <f t="shared" si="20"/>
        <v>0</v>
      </c>
      <c r="H169" s="356">
        <f t="shared" si="20"/>
        <v>0</v>
      </c>
      <c r="I169" s="357">
        <f t="shared" si="20"/>
        <v>0</v>
      </c>
      <c r="J169" s="59"/>
    </row>
    <row r="170" spans="1:10" ht="15.75" thickBot="1" x14ac:dyDescent="0.3">
      <c r="A170" s="777"/>
      <c r="B170" s="778"/>
      <c r="C170" s="778"/>
      <c r="D170" s="778"/>
      <c r="E170" s="331">
        <v>12</v>
      </c>
      <c r="F170" s="358">
        <f t="shared" si="20"/>
        <v>0</v>
      </c>
      <c r="G170" s="358">
        <f t="shared" si="20"/>
        <v>0</v>
      </c>
      <c r="H170" s="358">
        <f t="shared" si="20"/>
        <v>0</v>
      </c>
      <c r="I170" s="359">
        <f t="shared" si="20"/>
        <v>0</v>
      </c>
      <c r="J170" s="59"/>
    </row>
    <row r="171" spans="1:10" x14ac:dyDescent="0.25">
      <c r="A171" s="725" t="s">
        <v>17</v>
      </c>
      <c r="B171" s="726"/>
      <c r="C171" s="726"/>
      <c r="D171" s="726"/>
      <c r="E171" s="337">
        <v>0</v>
      </c>
      <c r="F171" s="363">
        <f t="shared" si="20"/>
        <v>0</v>
      </c>
      <c r="G171" s="363">
        <f t="shared" si="20"/>
        <v>0</v>
      </c>
      <c r="H171" s="363">
        <f t="shared" si="20"/>
        <v>0</v>
      </c>
      <c r="I171" s="364">
        <f t="shared" si="20"/>
        <v>0</v>
      </c>
      <c r="J171" s="59"/>
    </row>
    <row r="172" spans="1:10" x14ac:dyDescent="0.25">
      <c r="A172" s="725"/>
      <c r="B172" s="726"/>
      <c r="C172" s="726"/>
      <c r="D172" s="726"/>
      <c r="E172" s="328">
        <v>1</v>
      </c>
      <c r="F172" s="356">
        <f t="shared" si="20"/>
        <v>0</v>
      </c>
      <c r="G172" s="356">
        <f t="shared" si="20"/>
        <v>0</v>
      </c>
      <c r="H172" s="356">
        <f t="shared" si="20"/>
        <v>0</v>
      </c>
      <c r="I172" s="357">
        <f t="shared" si="20"/>
        <v>0</v>
      </c>
      <c r="J172" s="59"/>
    </row>
    <row r="173" spans="1:10" x14ac:dyDescent="0.25">
      <c r="A173" s="725"/>
      <c r="B173" s="726"/>
      <c r="C173" s="726"/>
      <c r="D173" s="726"/>
      <c r="E173" s="328">
        <v>2</v>
      </c>
      <c r="F173" s="356">
        <f t="shared" si="20"/>
        <v>0</v>
      </c>
      <c r="G173" s="356">
        <f t="shared" si="20"/>
        <v>0</v>
      </c>
      <c r="H173" s="356">
        <f t="shared" si="20"/>
        <v>0</v>
      </c>
      <c r="I173" s="357">
        <f t="shared" si="20"/>
        <v>0</v>
      </c>
      <c r="J173" s="59"/>
    </row>
    <row r="174" spans="1:10" x14ac:dyDescent="0.25">
      <c r="A174" s="725"/>
      <c r="B174" s="726"/>
      <c r="C174" s="726"/>
      <c r="D174" s="726"/>
      <c r="E174" s="328">
        <v>3</v>
      </c>
      <c r="F174" s="356">
        <f t="shared" si="20"/>
        <v>0</v>
      </c>
      <c r="G174" s="356">
        <f t="shared" si="20"/>
        <v>0</v>
      </c>
      <c r="H174" s="356">
        <f t="shared" si="20"/>
        <v>0</v>
      </c>
      <c r="I174" s="357">
        <f t="shared" si="20"/>
        <v>0</v>
      </c>
      <c r="J174" s="59"/>
    </row>
    <row r="175" spans="1:10" x14ac:dyDescent="0.25">
      <c r="A175" s="725"/>
      <c r="B175" s="726"/>
      <c r="C175" s="726"/>
      <c r="D175" s="726"/>
      <c r="E175" s="328">
        <v>4</v>
      </c>
      <c r="F175" s="356">
        <f t="shared" si="20"/>
        <v>0</v>
      </c>
      <c r="G175" s="356">
        <f t="shared" si="20"/>
        <v>0</v>
      </c>
      <c r="H175" s="356">
        <f t="shared" si="20"/>
        <v>0</v>
      </c>
      <c r="I175" s="357">
        <f t="shared" si="20"/>
        <v>0</v>
      </c>
      <c r="J175" s="59"/>
    </row>
    <row r="176" spans="1:10" x14ac:dyDescent="0.25">
      <c r="A176" s="725"/>
      <c r="B176" s="726"/>
      <c r="C176" s="726"/>
      <c r="D176" s="726"/>
      <c r="E176" s="328">
        <v>5</v>
      </c>
      <c r="F176" s="356">
        <f t="shared" si="20"/>
        <v>0</v>
      </c>
      <c r="G176" s="356">
        <f t="shared" si="20"/>
        <v>0</v>
      </c>
      <c r="H176" s="356">
        <f t="shared" si="20"/>
        <v>0</v>
      </c>
      <c r="I176" s="357">
        <f t="shared" si="20"/>
        <v>0</v>
      </c>
      <c r="J176" s="59"/>
    </row>
    <row r="177" spans="1:10" x14ac:dyDescent="0.25">
      <c r="A177" s="725"/>
      <c r="B177" s="726"/>
      <c r="C177" s="726"/>
      <c r="D177" s="726"/>
      <c r="E177" s="328">
        <v>6</v>
      </c>
      <c r="F177" s="356">
        <f t="shared" ref="F177:I183" si="21">F92*$J92</f>
        <v>0</v>
      </c>
      <c r="G177" s="356">
        <f t="shared" si="21"/>
        <v>0</v>
      </c>
      <c r="H177" s="356">
        <f t="shared" si="21"/>
        <v>0</v>
      </c>
      <c r="I177" s="357">
        <f t="shared" si="21"/>
        <v>0</v>
      </c>
      <c r="J177" s="59"/>
    </row>
    <row r="178" spans="1:10" x14ac:dyDescent="0.25">
      <c r="A178" s="725"/>
      <c r="B178" s="726"/>
      <c r="C178" s="726"/>
      <c r="D178" s="726"/>
      <c r="E178" s="328">
        <v>7</v>
      </c>
      <c r="F178" s="356">
        <f t="shared" si="21"/>
        <v>0</v>
      </c>
      <c r="G178" s="356">
        <f t="shared" si="21"/>
        <v>0</v>
      </c>
      <c r="H178" s="356">
        <f t="shared" si="21"/>
        <v>0</v>
      </c>
      <c r="I178" s="357">
        <f t="shared" si="21"/>
        <v>0</v>
      </c>
      <c r="J178" s="59"/>
    </row>
    <row r="179" spans="1:10" x14ac:dyDescent="0.25">
      <c r="A179" s="725"/>
      <c r="B179" s="726"/>
      <c r="C179" s="726"/>
      <c r="D179" s="726"/>
      <c r="E179" s="328">
        <v>8</v>
      </c>
      <c r="F179" s="356">
        <f t="shared" si="21"/>
        <v>0</v>
      </c>
      <c r="G179" s="356">
        <f t="shared" si="21"/>
        <v>0</v>
      </c>
      <c r="H179" s="356">
        <f t="shared" si="21"/>
        <v>0</v>
      </c>
      <c r="I179" s="357">
        <f t="shared" si="21"/>
        <v>0</v>
      </c>
      <c r="J179" s="59"/>
    </row>
    <row r="180" spans="1:10" x14ac:dyDescent="0.25">
      <c r="A180" s="725"/>
      <c r="B180" s="726"/>
      <c r="C180" s="726"/>
      <c r="D180" s="726"/>
      <c r="E180" s="328">
        <v>9</v>
      </c>
      <c r="F180" s="356">
        <f t="shared" si="21"/>
        <v>0</v>
      </c>
      <c r="G180" s="356">
        <f t="shared" si="21"/>
        <v>0</v>
      </c>
      <c r="H180" s="356">
        <f t="shared" si="21"/>
        <v>0</v>
      </c>
      <c r="I180" s="357">
        <f t="shared" si="21"/>
        <v>0</v>
      </c>
      <c r="J180" s="59"/>
    </row>
    <row r="181" spans="1:10" x14ac:dyDescent="0.25">
      <c r="A181" s="725"/>
      <c r="B181" s="726"/>
      <c r="C181" s="726"/>
      <c r="D181" s="726"/>
      <c r="E181" s="328">
        <v>10</v>
      </c>
      <c r="F181" s="356">
        <f t="shared" si="21"/>
        <v>0</v>
      </c>
      <c r="G181" s="356">
        <f t="shared" si="21"/>
        <v>0</v>
      </c>
      <c r="H181" s="356">
        <f t="shared" si="21"/>
        <v>0</v>
      </c>
      <c r="I181" s="357">
        <f t="shared" si="21"/>
        <v>0</v>
      </c>
      <c r="J181" s="59"/>
    </row>
    <row r="182" spans="1:10" x14ac:dyDescent="0.25">
      <c r="A182" s="725"/>
      <c r="B182" s="726"/>
      <c r="C182" s="726"/>
      <c r="D182" s="726"/>
      <c r="E182" s="328">
        <v>11</v>
      </c>
      <c r="F182" s="356">
        <f t="shared" si="21"/>
        <v>0</v>
      </c>
      <c r="G182" s="356">
        <f t="shared" si="21"/>
        <v>0</v>
      </c>
      <c r="H182" s="356">
        <f t="shared" si="21"/>
        <v>0</v>
      </c>
      <c r="I182" s="357">
        <f t="shared" si="21"/>
        <v>0</v>
      </c>
      <c r="J182" s="59"/>
    </row>
    <row r="183" spans="1:10" ht="15.75" thickBot="1" x14ac:dyDescent="0.3">
      <c r="A183" s="771"/>
      <c r="B183" s="772"/>
      <c r="C183" s="772"/>
      <c r="D183" s="772"/>
      <c r="E183" s="331">
        <v>12</v>
      </c>
      <c r="F183" s="358">
        <f t="shared" si="21"/>
        <v>0</v>
      </c>
      <c r="G183" s="358">
        <f t="shared" si="21"/>
        <v>0</v>
      </c>
      <c r="H183" s="358">
        <f t="shared" si="21"/>
        <v>0</v>
      </c>
      <c r="I183" s="359">
        <f t="shared" si="21"/>
        <v>0</v>
      </c>
      <c r="J183" s="59"/>
    </row>
    <row r="185" spans="1:10" x14ac:dyDescent="0.25">
      <c r="A185" s="115" t="s">
        <v>731</v>
      </c>
      <c r="B185" s="78" t="s">
        <v>146</v>
      </c>
    </row>
    <row r="186" spans="1:10" x14ac:dyDescent="0.25">
      <c r="A186" s="597" t="s">
        <v>8</v>
      </c>
      <c r="B186" s="597"/>
      <c r="C186" s="597"/>
      <c r="D186" s="597"/>
      <c r="E186" s="767" t="s">
        <v>120</v>
      </c>
      <c r="F186" s="765" t="s">
        <v>6</v>
      </c>
      <c r="G186" s="766"/>
      <c r="H186" s="765" t="s">
        <v>7</v>
      </c>
      <c r="I186" s="766"/>
    </row>
    <row r="187" spans="1:10" ht="15.75" thickBot="1" x14ac:dyDescent="0.3">
      <c r="A187" s="597"/>
      <c r="B187" s="597"/>
      <c r="C187" s="597"/>
      <c r="D187" s="597"/>
      <c r="E187" s="733"/>
      <c r="F187" s="324" t="s">
        <v>9</v>
      </c>
      <c r="G187" s="324" t="s">
        <v>10</v>
      </c>
      <c r="H187" s="324" t="s">
        <v>9</v>
      </c>
      <c r="I187" s="324" t="s">
        <v>10</v>
      </c>
    </row>
    <row r="188" spans="1:10" x14ac:dyDescent="0.25">
      <c r="A188" s="768" t="s">
        <v>129</v>
      </c>
      <c r="B188" s="769"/>
      <c r="C188" s="769"/>
      <c r="D188" s="770"/>
      <c r="E188" s="365">
        <v>0</v>
      </c>
      <c r="F188" s="812">
        <f>SUM(F104:F114)*'2.1.b Veículos'!D6</f>
        <v>1767000</v>
      </c>
      <c r="G188" s="809">
        <f>SUM(G104:G109)*'2.1.b Veículos'!E6</f>
        <v>0</v>
      </c>
      <c r="H188" s="809">
        <f>SUM(H104:H109)*'2.1.b Veículos'!F6</f>
        <v>0</v>
      </c>
      <c r="I188" s="814">
        <f>SUM(I104:I109)*'2.1.b Veículos'!G6</f>
        <v>0</v>
      </c>
    </row>
    <row r="189" spans="1:10" x14ac:dyDescent="0.25">
      <c r="A189" s="725"/>
      <c r="B189" s="726"/>
      <c r="C189" s="726"/>
      <c r="D189" s="727"/>
      <c r="E189" s="366">
        <v>1</v>
      </c>
      <c r="F189" s="813"/>
      <c r="G189" s="810"/>
      <c r="H189" s="810"/>
      <c r="I189" s="815"/>
    </row>
    <row r="190" spans="1:10" x14ac:dyDescent="0.25">
      <c r="A190" s="725"/>
      <c r="B190" s="726"/>
      <c r="C190" s="726"/>
      <c r="D190" s="727"/>
      <c r="E190" s="366">
        <v>2</v>
      </c>
      <c r="F190" s="813"/>
      <c r="G190" s="810"/>
      <c r="H190" s="810"/>
      <c r="I190" s="815"/>
    </row>
    <row r="191" spans="1:10" x14ac:dyDescent="0.25">
      <c r="A191" s="725"/>
      <c r="B191" s="726"/>
      <c r="C191" s="726"/>
      <c r="D191" s="727"/>
      <c r="E191" s="366">
        <v>3</v>
      </c>
      <c r="F191" s="813"/>
      <c r="G191" s="810"/>
      <c r="H191" s="810"/>
      <c r="I191" s="815"/>
    </row>
    <row r="192" spans="1:10" x14ac:dyDescent="0.25">
      <c r="A192" s="725"/>
      <c r="B192" s="726"/>
      <c r="C192" s="726"/>
      <c r="D192" s="727"/>
      <c r="E192" s="366">
        <v>4</v>
      </c>
      <c r="F192" s="813"/>
      <c r="G192" s="810"/>
      <c r="H192" s="810"/>
      <c r="I192" s="815"/>
    </row>
    <row r="193" spans="1:9" x14ac:dyDescent="0.25">
      <c r="A193" s="725"/>
      <c r="B193" s="726"/>
      <c r="C193" s="726"/>
      <c r="D193" s="727"/>
      <c r="E193" s="366">
        <v>5</v>
      </c>
      <c r="F193" s="813"/>
      <c r="G193" s="810"/>
      <c r="H193" s="810"/>
      <c r="I193" s="815"/>
    </row>
    <row r="194" spans="1:9" x14ac:dyDescent="0.25">
      <c r="A194" s="725"/>
      <c r="B194" s="726"/>
      <c r="C194" s="726"/>
      <c r="D194" s="727"/>
      <c r="E194" s="366">
        <v>6</v>
      </c>
      <c r="F194" s="813"/>
      <c r="G194" s="810"/>
      <c r="H194" s="810"/>
      <c r="I194" s="815"/>
    </row>
    <row r="195" spans="1:9" x14ac:dyDescent="0.25">
      <c r="A195" s="725"/>
      <c r="B195" s="726"/>
      <c r="C195" s="726"/>
      <c r="D195" s="727"/>
      <c r="E195" s="366">
        <v>7</v>
      </c>
      <c r="F195" s="813"/>
      <c r="G195" s="810"/>
      <c r="H195" s="810"/>
      <c r="I195" s="815"/>
    </row>
    <row r="196" spans="1:9" x14ac:dyDescent="0.25">
      <c r="A196" s="725"/>
      <c r="B196" s="726"/>
      <c r="C196" s="726"/>
      <c r="D196" s="727"/>
      <c r="E196" s="366">
        <v>8</v>
      </c>
      <c r="F196" s="813"/>
      <c r="G196" s="810"/>
      <c r="H196" s="810"/>
      <c r="I196" s="815"/>
    </row>
    <row r="197" spans="1:9" x14ac:dyDescent="0.25">
      <c r="A197" s="725"/>
      <c r="B197" s="726"/>
      <c r="C197" s="726"/>
      <c r="D197" s="727"/>
      <c r="E197" s="366">
        <v>9</v>
      </c>
      <c r="F197" s="813"/>
      <c r="G197" s="810"/>
      <c r="H197" s="810"/>
      <c r="I197" s="815"/>
    </row>
    <row r="198" spans="1:9" ht="15.75" thickBot="1" x14ac:dyDescent="0.3">
      <c r="A198" s="771"/>
      <c r="B198" s="772"/>
      <c r="C198" s="772"/>
      <c r="D198" s="773"/>
      <c r="E198" s="366">
        <v>10</v>
      </c>
      <c r="F198" s="836"/>
      <c r="G198" s="811"/>
      <c r="H198" s="811"/>
      <c r="I198" s="819"/>
    </row>
    <row r="199" spans="1:9" x14ac:dyDescent="0.25">
      <c r="A199" s="768" t="s">
        <v>12</v>
      </c>
      <c r="B199" s="769"/>
      <c r="C199" s="769"/>
      <c r="D199" s="770"/>
      <c r="E199" s="365">
        <v>0</v>
      </c>
      <c r="F199" s="812">
        <f>SUM(F115:F120)*'2.1.b Veículos'!D7</f>
        <v>0</v>
      </c>
      <c r="G199" s="809">
        <f>SUM(G115:G120)*'2.1.b Veículos'!E7</f>
        <v>0</v>
      </c>
      <c r="H199" s="809">
        <f>SUM(H115:H120)*'2.1.b Veículos'!F7</f>
        <v>0</v>
      </c>
      <c r="I199" s="814">
        <f>SUM(I115:I120)*'2.1.b Veículos'!G7</f>
        <v>0</v>
      </c>
    </row>
    <row r="200" spans="1:9" x14ac:dyDescent="0.25">
      <c r="A200" s="725"/>
      <c r="B200" s="726"/>
      <c r="C200" s="726"/>
      <c r="D200" s="727"/>
      <c r="E200" s="366">
        <v>1</v>
      </c>
      <c r="F200" s="813"/>
      <c r="G200" s="810"/>
      <c r="H200" s="810"/>
      <c r="I200" s="815"/>
    </row>
    <row r="201" spans="1:9" x14ac:dyDescent="0.25">
      <c r="A201" s="725"/>
      <c r="B201" s="726"/>
      <c r="C201" s="726"/>
      <c r="D201" s="727"/>
      <c r="E201" s="366">
        <v>2</v>
      </c>
      <c r="F201" s="813"/>
      <c r="G201" s="810"/>
      <c r="H201" s="810"/>
      <c r="I201" s="815"/>
    </row>
    <row r="202" spans="1:9" x14ac:dyDescent="0.25">
      <c r="A202" s="725"/>
      <c r="B202" s="726"/>
      <c r="C202" s="726"/>
      <c r="D202" s="727"/>
      <c r="E202" s="366">
        <v>3</v>
      </c>
      <c r="F202" s="813"/>
      <c r="G202" s="810"/>
      <c r="H202" s="810"/>
      <c r="I202" s="815"/>
    </row>
    <row r="203" spans="1:9" x14ac:dyDescent="0.25">
      <c r="A203" s="725"/>
      <c r="B203" s="726"/>
      <c r="C203" s="726"/>
      <c r="D203" s="727"/>
      <c r="E203" s="366">
        <v>4</v>
      </c>
      <c r="F203" s="813"/>
      <c r="G203" s="810"/>
      <c r="H203" s="810"/>
      <c r="I203" s="815"/>
    </row>
    <row r="204" spans="1:9" ht="15.75" thickBot="1" x14ac:dyDescent="0.3">
      <c r="A204" s="725"/>
      <c r="B204" s="726"/>
      <c r="C204" s="726"/>
      <c r="D204" s="727"/>
      <c r="E204" s="367">
        <v>5</v>
      </c>
      <c r="F204" s="813"/>
      <c r="G204" s="810"/>
      <c r="H204" s="810"/>
      <c r="I204" s="815"/>
    </row>
    <row r="205" spans="1:9" x14ac:dyDescent="0.25">
      <c r="A205" s="830" t="s">
        <v>13</v>
      </c>
      <c r="B205" s="830"/>
      <c r="C205" s="830"/>
      <c r="D205" s="831"/>
      <c r="E205" s="521">
        <v>0</v>
      </c>
      <c r="F205" s="809">
        <f>SUM(F121:F129)*'2.1.b Veículos'!D8</f>
        <v>2838254.5454545454</v>
      </c>
      <c r="G205" s="809">
        <f>SUM(G121:G129)*'2.1.b Veículos'!E8</f>
        <v>0</v>
      </c>
      <c r="H205" s="809">
        <f>SUM(H121:H129)*'2.1.b Veículos'!F8</f>
        <v>3098727.2727272729</v>
      </c>
      <c r="I205" s="814">
        <f>SUM(I121:I129)*'2.1.b Veículos'!G8</f>
        <v>0</v>
      </c>
    </row>
    <row r="206" spans="1:9" x14ac:dyDescent="0.25">
      <c r="A206" s="832"/>
      <c r="B206" s="832"/>
      <c r="C206" s="832"/>
      <c r="D206" s="833"/>
      <c r="E206" s="522">
        <v>1</v>
      </c>
      <c r="F206" s="810"/>
      <c r="G206" s="810"/>
      <c r="H206" s="810"/>
      <c r="I206" s="815"/>
    </row>
    <row r="207" spans="1:9" x14ac:dyDescent="0.25">
      <c r="A207" s="832"/>
      <c r="B207" s="832"/>
      <c r="C207" s="832"/>
      <c r="D207" s="833"/>
      <c r="E207" s="522">
        <v>2</v>
      </c>
      <c r="F207" s="810"/>
      <c r="G207" s="810"/>
      <c r="H207" s="810"/>
      <c r="I207" s="815"/>
    </row>
    <row r="208" spans="1:9" x14ac:dyDescent="0.25">
      <c r="A208" s="832"/>
      <c r="B208" s="832"/>
      <c r="C208" s="832"/>
      <c r="D208" s="833"/>
      <c r="E208" s="522">
        <v>3</v>
      </c>
      <c r="F208" s="810"/>
      <c r="G208" s="810"/>
      <c r="H208" s="810"/>
      <c r="I208" s="815"/>
    </row>
    <row r="209" spans="1:9" x14ac:dyDescent="0.25">
      <c r="A209" s="832"/>
      <c r="B209" s="832"/>
      <c r="C209" s="832"/>
      <c r="D209" s="833"/>
      <c r="E209" s="522">
        <v>4</v>
      </c>
      <c r="F209" s="810"/>
      <c r="G209" s="810"/>
      <c r="H209" s="810"/>
      <c r="I209" s="815"/>
    </row>
    <row r="210" spans="1:9" x14ac:dyDescent="0.25">
      <c r="A210" s="832"/>
      <c r="B210" s="832"/>
      <c r="C210" s="832"/>
      <c r="D210" s="833"/>
      <c r="E210" s="522">
        <v>5</v>
      </c>
      <c r="F210" s="810"/>
      <c r="G210" s="810"/>
      <c r="H210" s="810"/>
      <c r="I210" s="815"/>
    </row>
    <row r="211" spans="1:9" x14ac:dyDescent="0.25">
      <c r="A211" s="832"/>
      <c r="B211" s="832"/>
      <c r="C211" s="832"/>
      <c r="D211" s="833"/>
      <c r="E211" s="522">
        <v>6</v>
      </c>
      <c r="F211" s="810"/>
      <c r="G211" s="810"/>
      <c r="H211" s="810"/>
      <c r="I211" s="815"/>
    </row>
    <row r="212" spans="1:9" x14ac:dyDescent="0.25">
      <c r="A212" s="832"/>
      <c r="B212" s="832"/>
      <c r="C212" s="832"/>
      <c r="D212" s="833"/>
      <c r="E212" s="522">
        <v>7</v>
      </c>
      <c r="F212" s="810"/>
      <c r="G212" s="810"/>
      <c r="H212" s="810"/>
      <c r="I212" s="815"/>
    </row>
    <row r="213" spans="1:9" x14ac:dyDescent="0.25">
      <c r="A213" s="832"/>
      <c r="B213" s="832"/>
      <c r="C213" s="832"/>
      <c r="D213" s="833"/>
      <c r="E213" s="522">
        <v>8</v>
      </c>
      <c r="F213" s="810"/>
      <c r="G213" s="810"/>
      <c r="H213" s="810"/>
      <c r="I213" s="815"/>
    </row>
    <row r="214" spans="1:9" x14ac:dyDescent="0.25">
      <c r="A214" s="832"/>
      <c r="B214" s="832"/>
      <c r="C214" s="832"/>
      <c r="D214" s="833"/>
      <c r="E214" s="522">
        <v>9</v>
      </c>
      <c r="F214" s="810"/>
      <c r="G214" s="810"/>
      <c r="H214" s="810"/>
      <c r="I214" s="815"/>
    </row>
    <row r="215" spans="1:9" x14ac:dyDescent="0.25">
      <c r="A215" s="832"/>
      <c r="B215" s="832"/>
      <c r="C215" s="832"/>
      <c r="D215" s="833"/>
      <c r="E215" s="522">
        <v>10</v>
      </c>
      <c r="F215" s="810"/>
      <c r="G215" s="810"/>
      <c r="H215" s="810"/>
      <c r="I215" s="815"/>
    </row>
    <row r="216" spans="1:9" x14ac:dyDescent="0.25">
      <c r="A216" s="832"/>
      <c r="B216" s="832"/>
      <c r="C216" s="832"/>
      <c r="D216" s="833"/>
      <c r="E216" s="522">
        <v>11</v>
      </c>
      <c r="F216" s="810"/>
      <c r="G216" s="810"/>
      <c r="H216" s="810"/>
      <c r="I216" s="815"/>
    </row>
    <row r="217" spans="1:9" ht="15.75" thickBot="1" x14ac:dyDescent="0.3">
      <c r="A217" s="834"/>
      <c r="B217" s="834"/>
      <c r="C217" s="834"/>
      <c r="D217" s="835"/>
      <c r="E217" s="520">
        <v>12</v>
      </c>
      <c r="F217" s="811"/>
      <c r="G217" s="811"/>
      <c r="H217" s="811"/>
      <c r="I217" s="819"/>
    </row>
    <row r="218" spans="1:9" x14ac:dyDescent="0.25">
      <c r="A218" s="726" t="s">
        <v>14</v>
      </c>
      <c r="B218" s="726"/>
      <c r="C218" s="726"/>
      <c r="D218" s="726"/>
      <c r="E218" s="337">
        <v>0</v>
      </c>
      <c r="F218" s="810">
        <f>SUM(F134:F142)*'2.1.b Veículos'!D9</f>
        <v>0</v>
      </c>
      <c r="G218" s="810">
        <f>SUM(G134:G142)*'2.1.b Veículos'!E9</f>
        <v>0</v>
      </c>
      <c r="H218" s="810">
        <f>SUM(H134:H142)*'2.1.b Veículos'!F9</f>
        <v>1250545.4545454546</v>
      </c>
      <c r="I218" s="815">
        <f>SUM(I134:I142)*'2.1.b Veículos'!G9</f>
        <v>0</v>
      </c>
    </row>
    <row r="219" spans="1:9" x14ac:dyDescent="0.25">
      <c r="A219" s="726"/>
      <c r="B219" s="726"/>
      <c r="C219" s="726"/>
      <c r="D219" s="726"/>
      <c r="E219" s="328">
        <v>1</v>
      </c>
      <c r="F219" s="810"/>
      <c r="G219" s="810"/>
      <c r="H219" s="810"/>
      <c r="I219" s="815"/>
    </row>
    <row r="220" spans="1:9" x14ac:dyDescent="0.25">
      <c r="A220" s="726"/>
      <c r="B220" s="726"/>
      <c r="C220" s="726"/>
      <c r="D220" s="726"/>
      <c r="E220" s="328">
        <v>2</v>
      </c>
      <c r="F220" s="810"/>
      <c r="G220" s="810"/>
      <c r="H220" s="810"/>
      <c r="I220" s="815"/>
    </row>
    <row r="221" spans="1:9" x14ac:dyDescent="0.25">
      <c r="A221" s="726"/>
      <c r="B221" s="726"/>
      <c r="C221" s="726"/>
      <c r="D221" s="726"/>
      <c r="E221" s="328">
        <v>3</v>
      </c>
      <c r="F221" s="810"/>
      <c r="G221" s="810"/>
      <c r="H221" s="810"/>
      <c r="I221" s="815"/>
    </row>
    <row r="222" spans="1:9" x14ac:dyDescent="0.25">
      <c r="A222" s="726"/>
      <c r="B222" s="726"/>
      <c r="C222" s="726"/>
      <c r="D222" s="726"/>
      <c r="E222" s="328">
        <v>4</v>
      </c>
      <c r="F222" s="810"/>
      <c r="G222" s="810"/>
      <c r="H222" s="810"/>
      <c r="I222" s="815"/>
    </row>
    <row r="223" spans="1:9" x14ac:dyDescent="0.25">
      <c r="A223" s="726"/>
      <c r="B223" s="726"/>
      <c r="C223" s="726"/>
      <c r="D223" s="726"/>
      <c r="E223" s="328">
        <v>5</v>
      </c>
      <c r="F223" s="810"/>
      <c r="G223" s="810"/>
      <c r="H223" s="810"/>
      <c r="I223" s="815"/>
    </row>
    <row r="224" spans="1:9" x14ac:dyDescent="0.25">
      <c r="A224" s="726"/>
      <c r="B224" s="726"/>
      <c r="C224" s="726"/>
      <c r="D224" s="726"/>
      <c r="E224" s="328">
        <v>6</v>
      </c>
      <c r="F224" s="810"/>
      <c r="G224" s="810"/>
      <c r="H224" s="810"/>
      <c r="I224" s="815"/>
    </row>
    <row r="225" spans="1:9" x14ac:dyDescent="0.25">
      <c r="A225" s="726"/>
      <c r="B225" s="726"/>
      <c r="C225" s="726"/>
      <c r="D225" s="726"/>
      <c r="E225" s="328">
        <v>7</v>
      </c>
      <c r="F225" s="810"/>
      <c r="G225" s="810"/>
      <c r="H225" s="810"/>
      <c r="I225" s="815"/>
    </row>
    <row r="226" spans="1:9" x14ac:dyDescent="0.25">
      <c r="A226" s="726"/>
      <c r="B226" s="726"/>
      <c r="C226" s="726"/>
      <c r="D226" s="726"/>
      <c r="E226" s="328">
        <v>8</v>
      </c>
      <c r="F226" s="810"/>
      <c r="G226" s="810"/>
      <c r="H226" s="810"/>
      <c r="I226" s="815"/>
    </row>
    <row r="227" spans="1:9" x14ac:dyDescent="0.25">
      <c r="A227" s="726"/>
      <c r="B227" s="726"/>
      <c r="C227" s="726"/>
      <c r="D227" s="726"/>
      <c r="E227" s="328">
        <v>9</v>
      </c>
      <c r="F227" s="810"/>
      <c r="G227" s="810"/>
      <c r="H227" s="810"/>
      <c r="I227" s="815"/>
    </row>
    <row r="228" spans="1:9" x14ac:dyDescent="0.25">
      <c r="A228" s="726"/>
      <c r="B228" s="726"/>
      <c r="C228" s="726"/>
      <c r="D228" s="726"/>
      <c r="E228" s="328">
        <v>10</v>
      </c>
      <c r="F228" s="810"/>
      <c r="G228" s="810"/>
      <c r="H228" s="810"/>
      <c r="I228" s="815"/>
    </row>
    <row r="229" spans="1:9" x14ac:dyDescent="0.25">
      <c r="A229" s="726"/>
      <c r="B229" s="726"/>
      <c r="C229" s="726"/>
      <c r="D229" s="726"/>
      <c r="E229" s="328">
        <v>11</v>
      </c>
      <c r="F229" s="810"/>
      <c r="G229" s="810"/>
      <c r="H229" s="810"/>
      <c r="I229" s="815"/>
    </row>
    <row r="230" spans="1:9" ht="15.75" thickBot="1" x14ac:dyDescent="0.3">
      <c r="A230" s="772"/>
      <c r="B230" s="772"/>
      <c r="C230" s="772"/>
      <c r="D230" s="772"/>
      <c r="E230" s="331">
        <v>12</v>
      </c>
      <c r="F230" s="811"/>
      <c r="G230" s="811"/>
      <c r="H230" s="811"/>
      <c r="I230" s="819"/>
    </row>
    <row r="231" spans="1:9" x14ac:dyDescent="0.25">
      <c r="A231" s="725" t="s">
        <v>15</v>
      </c>
      <c r="B231" s="726"/>
      <c r="C231" s="726"/>
      <c r="D231" s="727"/>
      <c r="E231" s="368">
        <v>0</v>
      </c>
      <c r="F231" s="820">
        <f>SUM(F147:F157)*'2.1.b Veículos'!D10</f>
        <v>0</v>
      </c>
      <c r="G231" s="810">
        <f>SUM(G147:G157)*'2.1.b Veículos'!E10</f>
        <v>0</v>
      </c>
      <c r="H231" s="810">
        <f>SUM(H147:H157)*'2.1.b Veículos'!F10</f>
        <v>0</v>
      </c>
      <c r="I231" s="815">
        <f>SUM(I147:I157)*'2.1.b Veículos'!G10</f>
        <v>0</v>
      </c>
    </row>
    <row r="232" spans="1:9" x14ac:dyDescent="0.25">
      <c r="A232" s="725"/>
      <c r="B232" s="726"/>
      <c r="C232" s="726"/>
      <c r="D232" s="727"/>
      <c r="E232" s="366">
        <v>1</v>
      </c>
      <c r="F232" s="821"/>
      <c r="G232" s="810"/>
      <c r="H232" s="810"/>
      <c r="I232" s="815"/>
    </row>
    <row r="233" spans="1:9" x14ac:dyDescent="0.25">
      <c r="A233" s="725"/>
      <c r="B233" s="726"/>
      <c r="C233" s="726"/>
      <c r="D233" s="727"/>
      <c r="E233" s="366">
        <v>2</v>
      </c>
      <c r="F233" s="821"/>
      <c r="G233" s="810"/>
      <c r="H233" s="810"/>
      <c r="I233" s="815"/>
    </row>
    <row r="234" spans="1:9" x14ac:dyDescent="0.25">
      <c r="A234" s="725"/>
      <c r="B234" s="726"/>
      <c r="C234" s="726"/>
      <c r="D234" s="727"/>
      <c r="E234" s="366">
        <v>3</v>
      </c>
      <c r="F234" s="821"/>
      <c r="G234" s="810"/>
      <c r="H234" s="810"/>
      <c r="I234" s="815"/>
    </row>
    <row r="235" spans="1:9" x14ac:dyDescent="0.25">
      <c r="A235" s="725"/>
      <c r="B235" s="726"/>
      <c r="C235" s="726"/>
      <c r="D235" s="727"/>
      <c r="E235" s="366">
        <v>4</v>
      </c>
      <c r="F235" s="821"/>
      <c r="G235" s="810"/>
      <c r="H235" s="810"/>
      <c r="I235" s="815"/>
    </row>
    <row r="236" spans="1:9" x14ac:dyDescent="0.25">
      <c r="A236" s="725"/>
      <c r="B236" s="726"/>
      <c r="C236" s="726"/>
      <c r="D236" s="727"/>
      <c r="E236" s="366">
        <v>5</v>
      </c>
      <c r="F236" s="821"/>
      <c r="G236" s="810"/>
      <c r="H236" s="810"/>
      <c r="I236" s="815"/>
    </row>
    <row r="237" spans="1:9" x14ac:dyDescent="0.25">
      <c r="A237" s="725"/>
      <c r="B237" s="726"/>
      <c r="C237" s="726"/>
      <c r="D237" s="727"/>
      <c r="E237" s="366">
        <v>6</v>
      </c>
      <c r="F237" s="821"/>
      <c r="G237" s="810"/>
      <c r="H237" s="810"/>
      <c r="I237" s="815"/>
    </row>
    <row r="238" spans="1:9" x14ac:dyDescent="0.25">
      <c r="A238" s="725"/>
      <c r="B238" s="726"/>
      <c r="C238" s="726"/>
      <c r="D238" s="727"/>
      <c r="E238" s="366">
        <v>7</v>
      </c>
      <c r="F238" s="821"/>
      <c r="G238" s="810"/>
      <c r="H238" s="810"/>
      <c r="I238" s="815"/>
    </row>
    <row r="239" spans="1:9" x14ac:dyDescent="0.25">
      <c r="A239" s="725"/>
      <c r="B239" s="726"/>
      <c r="C239" s="726"/>
      <c r="D239" s="727"/>
      <c r="E239" s="366">
        <v>8</v>
      </c>
      <c r="F239" s="821"/>
      <c r="G239" s="810"/>
      <c r="H239" s="810"/>
      <c r="I239" s="815"/>
    </row>
    <row r="240" spans="1:9" x14ac:dyDescent="0.25">
      <c r="A240" s="725"/>
      <c r="B240" s="726"/>
      <c r="C240" s="726"/>
      <c r="D240" s="727"/>
      <c r="E240" s="366">
        <v>9</v>
      </c>
      <c r="F240" s="821"/>
      <c r="G240" s="810"/>
      <c r="H240" s="810"/>
      <c r="I240" s="815"/>
    </row>
    <row r="241" spans="1:9" ht="15.75" thickBot="1" x14ac:dyDescent="0.3">
      <c r="A241" s="725"/>
      <c r="B241" s="726"/>
      <c r="C241" s="726"/>
      <c r="D241" s="727"/>
      <c r="E241" s="367">
        <v>10</v>
      </c>
      <c r="F241" s="822"/>
      <c r="G241" s="810"/>
      <c r="H241" s="810"/>
      <c r="I241" s="815"/>
    </row>
    <row r="242" spans="1:9" x14ac:dyDescent="0.25">
      <c r="A242" s="768" t="s">
        <v>16</v>
      </c>
      <c r="B242" s="769"/>
      <c r="C242" s="769"/>
      <c r="D242" s="770"/>
      <c r="E242" s="325">
        <v>0</v>
      </c>
      <c r="F242" s="806">
        <f>SUM(F158:F170)*'2.1.b Veículos'!D11</f>
        <v>0</v>
      </c>
      <c r="G242" s="809">
        <f>SUM(G158:G170)*'2.1.b Veículos'!E11</f>
        <v>0</v>
      </c>
      <c r="H242" s="809">
        <f>SUM(H158:H170)*'2.1.b Veículos'!F11</f>
        <v>0</v>
      </c>
      <c r="I242" s="814">
        <f>SUM(I158:I170)*'2.1.b Veículos'!G11</f>
        <v>0</v>
      </c>
    </row>
    <row r="243" spans="1:9" x14ac:dyDescent="0.25">
      <c r="A243" s="725"/>
      <c r="B243" s="726"/>
      <c r="C243" s="726"/>
      <c r="D243" s="727"/>
      <c r="E243" s="328">
        <v>1</v>
      </c>
      <c r="F243" s="807"/>
      <c r="G243" s="810"/>
      <c r="H243" s="810"/>
      <c r="I243" s="815"/>
    </row>
    <row r="244" spans="1:9" x14ac:dyDescent="0.25">
      <c r="A244" s="725"/>
      <c r="B244" s="726"/>
      <c r="C244" s="726"/>
      <c r="D244" s="727"/>
      <c r="E244" s="328">
        <v>2</v>
      </c>
      <c r="F244" s="807"/>
      <c r="G244" s="810"/>
      <c r="H244" s="810"/>
      <c r="I244" s="815"/>
    </row>
    <row r="245" spans="1:9" x14ac:dyDescent="0.25">
      <c r="A245" s="725"/>
      <c r="B245" s="726"/>
      <c r="C245" s="726"/>
      <c r="D245" s="727"/>
      <c r="E245" s="328">
        <v>3</v>
      </c>
      <c r="F245" s="807"/>
      <c r="G245" s="810"/>
      <c r="H245" s="810"/>
      <c r="I245" s="815"/>
    </row>
    <row r="246" spans="1:9" x14ac:dyDescent="0.25">
      <c r="A246" s="725"/>
      <c r="B246" s="726"/>
      <c r="C246" s="726"/>
      <c r="D246" s="727"/>
      <c r="E246" s="328">
        <v>4</v>
      </c>
      <c r="F246" s="807"/>
      <c r="G246" s="810"/>
      <c r="H246" s="810"/>
      <c r="I246" s="815"/>
    </row>
    <row r="247" spans="1:9" x14ac:dyDescent="0.25">
      <c r="A247" s="725"/>
      <c r="B247" s="726"/>
      <c r="C247" s="726"/>
      <c r="D247" s="727"/>
      <c r="E247" s="328">
        <v>5</v>
      </c>
      <c r="F247" s="807"/>
      <c r="G247" s="810"/>
      <c r="H247" s="810"/>
      <c r="I247" s="815"/>
    </row>
    <row r="248" spans="1:9" x14ac:dyDescent="0.25">
      <c r="A248" s="725"/>
      <c r="B248" s="726"/>
      <c r="C248" s="726"/>
      <c r="D248" s="727"/>
      <c r="E248" s="328">
        <v>6</v>
      </c>
      <c r="F248" s="807"/>
      <c r="G248" s="810"/>
      <c r="H248" s="810"/>
      <c r="I248" s="815"/>
    </row>
    <row r="249" spans="1:9" x14ac:dyDescent="0.25">
      <c r="A249" s="725"/>
      <c r="B249" s="726"/>
      <c r="C249" s="726"/>
      <c r="D249" s="727"/>
      <c r="E249" s="328">
        <v>7</v>
      </c>
      <c r="F249" s="807"/>
      <c r="G249" s="810"/>
      <c r="H249" s="810"/>
      <c r="I249" s="815"/>
    </row>
    <row r="250" spans="1:9" x14ac:dyDescent="0.25">
      <c r="A250" s="725"/>
      <c r="B250" s="726"/>
      <c r="C250" s="726"/>
      <c r="D250" s="727"/>
      <c r="E250" s="328">
        <v>8</v>
      </c>
      <c r="F250" s="807"/>
      <c r="G250" s="810"/>
      <c r="H250" s="810"/>
      <c r="I250" s="815"/>
    </row>
    <row r="251" spans="1:9" x14ac:dyDescent="0.25">
      <c r="A251" s="725"/>
      <c r="B251" s="726"/>
      <c r="C251" s="726"/>
      <c r="D251" s="727"/>
      <c r="E251" s="328">
        <v>9</v>
      </c>
      <c r="F251" s="807"/>
      <c r="G251" s="810"/>
      <c r="H251" s="810"/>
      <c r="I251" s="815"/>
    </row>
    <row r="252" spans="1:9" x14ac:dyDescent="0.25">
      <c r="A252" s="725"/>
      <c r="B252" s="726"/>
      <c r="C252" s="726"/>
      <c r="D252" s="727"/>
      <c r="E252" s="328">
        <v>10</v>
      </c>
      <c r="F252" s="807"/>
      <c r="G252" s="810"/>
      <c r="H252" s="810"/>
      <c r="I252" s="815"/>
    </row>
    <row r="253" spans="1:9" x14ac:dyDescent="0.25">
      <c r="A253" s="725"/>
      <c r="B253" s="726"/>
      <c r="C253" s="726"/>
      <c r="D253" s="727"/>
      <c r="E253" s="328">
        <v>11</v>
      </c>
      <c r="F253" s="807"/>
      <c r="G253" s="810"/>
      <c r="H253" s="810"/>
      <c r="I253" s="815"/>
    </row>
    <row r="254" spans="1:9" ht="15.75" thickBot="1" x14ac:dyDescent="0.3">
      <c r="A254" s="771"/>
      <c r="B254" s="772"/>
      <c r="C254" s="772"/>
      <c r="D254" s="773"/>
      <c r="E254" s="331">
        <v>12</v>
      </c>
      <c r="F254" s="808"/>
      <c r="G254" s="811"/>
      <c r="H254" s="811"/>
      <c r="I254" s="819"/>
    </row>
    <row r="255" spans="1:9" x14ac:dyDescent="0.25">
      <c r="A255" s="823" t="s">
        <v>17</v>
      </c>
      <c r="B255" s="824"/>
      <c r="C255" s="824"/>
      <c r="D255" s="824"/>
      <c r="E255" s="337">
        <v>0</v>
      </c>
      <c r="F255" s="816">
        <f>SUM(F171:F183)*'2.1.b Veículos'!D12</f>
        <v>0</v>
      </c>
      <c r="G255" s="816">
        <f>SUM(G171:G183)*'2.1.b Veículos'!E12</f>
        <v>0</v>
      </c>
      <c r="H255" s="816">
        <f>SUM(H171:H183)*'2.1.b Veículos'!F12</f>
        <v>0</v>
      </c>
      <c r="I255" s="803">
        <f>SUM(I171:I183)*'2.1.b Veículos'!G12</f>
        <v>0</v>
      </c>
    </row>
    <row r="256" spans="1:9" x14ac:dyDescent="0.25">
      <c r="A256" s="776"/>
      <c r="B256" s="731"/>
      <c r="C256" s="731"/>
      <c r="D256" s="731"/>
      <c r="E256" s="328">
        <v>1</v>
      </c>
      <c r="F256" s="817"/>
      <c r="G256" s="817"/>
      <c r="H256" s="817"/>
      <c r="I256" s="804"/>
    </row>
    <row r="257" spans="1:9" x14ac:dyDescent="0.25">
      <c r="A257" s="776"/>
      <c r="B257" s="731"/>
      <c r="C257" s="731"/>
      <c r="D257" s="731"/>
      <c r="E257" s="328">
        <v>2</v>
      </c>
      <c r="F257" s="817"/>
      <c r="G257" s="817"/>
      <c r="H257" s="817"/>
      <c r="I257" s="804"/>
    </row>
    <row r="258" spans="1:9" x14ac:dyDescent="0.25">
      <c r="A258" s="776"/>
      <c r="B258" s="731"/>
      <c r="C258" s="731"/>
      <c r="D258" s="731"/>
      <c r="E258" s="328">
        <v>3</v>
      </c>
      <c r="F258" s="817"/>
      <c r="G258" s="817"/>
      <c r="H258" s="817"/>
      <c r="I258" s="804"/>
    </row>
    <row r="259" spans="1:9" x14ac:dyDescent="0.25">
      <c r="A259" s="776"/>
      <c r="B259" s="731"/>
      <c r="C259" s="731"/>
      <c r="D259" s="731"/>
      <c r="E259" s="328">
        <v>4</v>
      </c>
      <c r="F259" s="817"/>
      <c r="G259" s="817"/>
      <c r="H259" s="817"/>
      <c r="I259" s="804"/>
    </row>
    <row r="260" spans="1:9" x14ac:dyDescent="0.25">
      <c r="A260" s="776"/>
      <c r="B260" s="731"/>
      <c r="C260" s="731"/>
      <c r="D260" s="731"/>
      <c r="E260" s="328">
        <v>5</v>
      </c>
      <c r="F260" s="817"/>
      <c r="G260" s="817"/>
      <c r="H260" s="817"/>
      <c r="I260" s="804"/>
    </row>
    <row r="261" spans="1:9" x14ac:dyDescent="0.25">
      <c r="A261" s="776"/>
      <c r="B261" s="731"/>
      <c r="C261" s="731"/>
      <c r="D261" s="731"/>
      <c r="E261" s="328">
        <v>6</v>
      </c>
      <c r="F261" s="817"/>
      <c r="G261" s="817"/>
      <c r="H261" s="817"/>
      <c r="I261" s="804"/>
    </row>
    <row r="262" spans="1:9" x14ac:dyDescent="0.25">
      <c r="A262" s="776"/>
      <c r="B262" s="731"/>
      <c r="C262" s="731"/>
      <c r="D262" s="731"/>
      <c r="E262" s="328">
        <v>7</v>
      </c>
      <c r="F262" s="817"/>
      <c r="G262" s="817"/>
      <c r="H262" s="817"/>
      <c r="I262" s="804"/>
    </row>
    <row r="263" spans="1:9" x14ac:dyDescent="0.25">
      <c r="A263" s="776"/>
      <c r="B263" s="731"/>
      <c r="C263" s="731"/>
      <c r="D263" s="731"/>
      <c r="E263" s="328">
        <v>8</v>
      </c>
      <c r="F263" s="817"/>
      <c r="G263" s="817"/>
      <c r="H263" s="817"/>
      <c r="I263" s="804"/>
    </row>
    <row r="264" spans="1:9" x14ac:dyDescent="0.25">
      <c r="A264" s="776"/>
      <c r="B264" s="731"/>
      <c r="C264" s="731"/>
      <c r="D264" s="731"/>
      <c r="E264" s="328">
        <v>9</v>
      </c>
      <c r="F264" s="817"/>
      <c r="G264" s="817"/>
      <c r="H264" s="817"/>
      <c r="I264" s="804"/>
    </row>
    <row r="265" spans="1:9" x14ac:dyDescent="0.25">
      <c r="A265" s="776"/>
      <c r="B265" s="731"/>
      <c r="C265" s="731"/>
      <c r="D265" s="731"/>
      <c r="E265" s="328">
        <v>10</v>
      </c>
      <c r="F265" s="817"/>
      <c r="G265" s="817"/>
      <c r="H265" s="817"/>
      <c r="I265" s="804"/>
    </row>
    <row r="266" spans="1:9" x14ac:dyDescent="0.25">
      <c r="A266" s="776"/>
      <c r="B266" s="731"/>
      <c r="C266" s="731"/>
      <c r="D266" s="731"/>
      <c r="E266" s="328">
        <v>11</v>
      </c>
      <c r="F266" s="817"/>
      <c r="G266" s="817"/>
      <c r="H266" s="817"/>
      <c r="I266" s="804"/>
    </row>
    <row r="267" spans="1:9" ht="15.75" thickBot="1" x14ac:dyDescent="0.3">
      <c r="A267" s="777"/>
      <c r="B267" s="778"/>
      <c r="C267" s="778"/>
      <c r="D267" s="778"/>
      <c r="E267" s="331">
        <v>12</v>
      </c>
      <c r="F267" s="818"/>
      <c r="G267" s="818"/>
      <c r="H267" s="818"/>
      <c r="I267" s="805"/>
    </row>
    <row r="269" spans="1:9" x14ac:dyDescent="0.25">
      <c r="A269" s="115" t="s">
        <v>732</v>
      </c>
      <c r="B269" s="78" t="s">
        <v>775</v>
      </c>
    </row>
    <row r="270" spans="1:9" ht="21" x14ac:dyDescent="0.25">
      <c r="A270" s="720" t="s">
        <v>145</v>
      </c>
      <c r="B270" s="720"/>
      <c r="C270" s="720"/>
      <c r="D270" s="720"/>
      <c r="E270" s="720"/>
      <c r="F270" s="721"/>
      <c r="G270" s="141">
        <f>SUM(F188:I267)*('2.1.c Insumos'!F68/100)/12</f>
        <v>74322.57636363637</v>
      </c>
    </row>
  </sheetData>
  <sheetProtection sheet="1" objects="1" scenarios="1"/>
  <mergeCells count="74">
    <mergeCell ref="A158:D170"/>
    <mergeCell ref="H188:H198"/>
    <mergeCell ref="I188:I198"/>
    <mergeCell ref="A205:D217"/>
    <mergeCell ref="F205:F217"/>
    <mergeCell ref="G205:G217"/>
    <mergeCell ref="H205:H217"/>
    <mergeCell ref="I205:I217"/>
    <mergeCell ref="G188:G198"/>
    <mergeCell ref="H186:I186"/>
    <mergeCell ref="A199:D204"/>
    <mergeCell ref="A186:D187"/>
    <mergeCell ref="E186:E187"/>
    <mergeCell ref="A171:D183"/>
    <mergeCell ref="A188:D198"/>
    <mergeCell ref="F188:F198"/>
    <mergeCell ref="A9:D9"/>
    <mergeCell ref="L6:O6"/>
    <mergeCell ref="A6:D7"/>
    <mergeCell ref="E6:E7"/>
    <mergeCell ref="F6:F7"/>
    <mergeCell ref="A8:D8"/>
    <mergeCell ref="A10:D10"/>
    <mergeCell ref="A17:D18"/>
    <mergeCell ref="A73:D85"/>
    <mergeCell ref="A11:D11"/>
    <mergeCell ref="A12:D12"/>
    <mergeCell ref="A13:D13"/>
    <mergeCell ref="A14:D14"/>
    <mergeCell ref="A19:D29"/>
    <mergeCell ref="A36:D48"/>
    <mergeCell ref="A49:D61"/>
    <mergeCell ref="J17:J18"/>
    <mergeCell ref="A115:D120"/>
    <mergeCell ref="A147:D157"/>
    <mergeCell ref="F102:G102"/>
    <mergeCell ref="H102:I102"/>
    <mergeCell ref="A30:D35"/>
    <mergeCell ref="A102:D103"/>
    <mergeCell ref="E102:E103"/>
    <mergeCell ref="A86:D98"/>
    <mergeCell ref="A62:D72"/>
    <mergeCell ref="E17:E18"/>
    <mergeCell ref="F17:G17"/>
    <mergeCell ref="H17:I17"/>
    <mergeCell ref="A104:D114"/>
    <mergeCell ref="A121:D133"/>
    <mergeCell ref="A134:D146"/>
    <mergeCell ref="I218:I230"/>
    <mergeCell ref="A270:F270"/>
    <mergeCell ref="A242:D254"/>
    <mergeCell ref="F231:F241"/>
    <mergeCell ref="G231:G241"/>
    <mergeCell ref="H231:H241"/>
    <mergeCell ref="H242:H254"/>
    <mergeCell ref="A231:D241"/>
    <mergeCell ref="A255:D267"/>
    <mergeCell ref="A218:D230"/>
    <mergeCell ref="F186:G186"/>
    <mergeCell ref="I255:I267"/>
    <mergeCell ref="F242:F254"/>
    <mergeCell ref="G242:G254"/>
    <mergeCell ref="F199:F204"/>
    <mergeCell ref="G199:G204"/>
    <mergeCell ref="H199:H204"/>
    <mergeCell ref="I199:I204"/>
    <mergeCell ref="I231:I241"/>
    <mergeCell ref="F255:F267"/>
    <mergeCell ref="G255:G267"/>
    <mergeCell ref="H255:H267"/>
    <mergeCell ref="I242:I254"/>
    <mergeCell ref="F218:F230"/>
    <mergeCell ref="G218:G230"/>
    <mergeCell ref="H218:H230"/>
  </mergeCells>
  <pageMargins left="0.23622047244094491" right="0.23622047244094491" top="0.74803149606299213" bottom="0.74803149606299213" header="0.31496062992125984" footer="0.31496062992125984"/>
  <pageSetup paperSize="9" scale="55" orientation="landscape"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5">
    <tabColor theme="6" tint="0.39997558519241921"/>
  </sheetPr>
  <dimension ref="A1:L20"/>
  <sheetViews>
    <sheetView showGridLines="0" workbookViewId="0">
      <selection activeCell="G15" sqref="G15"/>
    </sheetView>
  </sheetViews>
  <sheetFormatPr defaultColWidth="9.140625" defaultRowHeight="12.75" x14ac:dyDescent="0.2"/>
  <cols>
    <col min="1" max="3" width="9.140625" style="139" customWidth="1"/>
    <col min="4" max="4" width="15.42578125" style="139" bestFit="1" customWidth="1"/>
    <col min="5" max="5" width="14.140625" style="139" customWidth="1"/>
    <col min="6" max="6" width="15.42578125" style="139" bestFit="1" customWidth="1"/>
    <col min="7" max="7" width="28.7109375" style="139" customWidth="1"/>
    <col min="8" max="16384" width="9.140625" style="139"/>
  </cols>
  <sheetData>
    <row r="1" spans="1:12" ht="15" x14ac:dyDescent="0.25">
      <c r="A1" s="107" t="s">
        <v>725</v>
      </c>
      <c r="E1" s="59"/>
      <c r="F1" s="59"/>
      <c r="G1" s="59"/>
      <c r="H1" s="59"/>
      <c r="I1" s="59"/>
      <c r="J1" s="59"/>
      <c r="K1" s="59"/>
    </row>
    <row r="2" spans="1:12" ht="15.75" thickBot="1" x14ac:dyDescent="0.3">
      <c r="A2" s="78"/>
      <c r="B2" s="78"/>
      <c r="C2" s="59"/>
      <c r="D2" s="59"/>
      <c r="E2" s="59"/>
      <c r="F2" s="59"/>
      <c r="G2" s="59"/>
      <c r="H2" s="59"/>
      <c r="I2" s="59"/>
      <c r="J2" s="59"/>
      <c r="K2" s="59"/>
    </row>
    <row r="3" spans="1:12" ht="15.75" thickBot="1" x14ac:dyDescent="0.3">
      <c r="A3" s="115" t="s">
        <v>734</v>
      </c>
      <c r="B3" s="78" t="s">
        <v>733</v>
      </c>
      <c r="C3" s="59"/>
      <c r="D3" s="59"/>
      <c r="E3" s="59"/>
      <c r="F3" s="59"/>
      <c r="G3" s="59"/>
      <c r="H3" s="59"/>
      <c r="I3" s="537" t="s">
        <v>84</v>
      </c>
      <c r="J3" s="538"/>
      <c r="K3" s="538"/>
      <c r="L3" s="539"/>
    </row>
    <row r="4" spans="1:12" ht="15" x14ac:dyDescent="0.25">
      <c r="A4" s="78"/>
      <c r="B4" s="78"/>
      <c r="C4" s="59"/>
      <c r="D4" s="59"/>
      <c r="E4" s="59"/>
      <c r="F4" s="59"/>
      <c r="G4" s="59"/>
      <c r="H4" s="59"/>
      <c r="I4" s="62"/>
      <c r="J4" s="63"/>
      <c r="K4" s="63"/>
      <c r="L4" s="64"/>
    </row>
    <row r="5" spans="1:12" ht="15" x14ac:dyDescent="0.25">
      <c r="A5" s="115" t="s">
        <v>735</v>
      </c>
      <c r="B5" s="78" t="s">
        <v>148</v>
      </c>
      <c r="C5" s="59"/>
      <c r="D5" s="59"/>
      <c r="E5" s="59"/>
      <c r="F5" s="59"/>
      <c r="G5" s="59"/>
      <c r="I5" s="65"/>
      <c r="J5" s="66"/>
      <c r="K5" s="67" t="s">
        <v>82</v>
      </c>
      <c r="L5" s="68"/>
    </row>
    <row r="6" spans="1:12" ht="15" x14ac:dyDescent="0.25">
      <c r="A6" s="78"/>
      <c r="B6" s="78"/>
      <c r="C6" s="59"/>
      <c r="D6" s="59"/>
      <c r="E6" s="59"/>
      <c r="F6" s="59"/>
      <c r="G6" s="59"/>
      <c r="I6" s="65"/>
      <c r="J6" s="71"/>
      <c r="K6" s="67" t="s">
        <v>94</v>
      </c>
      <c r="L6" s="68"/>
    </row>
    <row r="7" spans="1:12" ht="15.75" x14ac:dyDescent="0.25">
      <c r="A7" s="843"/>
      <c r="B7" s="844"/>
      <c r="C7" s="844"/>
      <c r="D7" s="845"/>
      <c r="E7" s="369" t="s">
        <v>149</v>
      </c>
      <c r="F7" s="370" t="s">
        <v>150</v>
      </c>
      <c r="G7" s="59"/>
      <c r="I7" s="65"/>
      <c r="J7" s="72"/>
      <c r="K7" s="67" t="s">
        <v>83</v>
      </c>
      <c r="L7" s="68"/>
    </row>
    <row r="8" spans="1:12" ht="33.75" customHeight="1" thickBot="1" x14ac:dyDescent="0.3">
      <c r="A8" s="846" t="s">
        <v>737</v>
      </c>
      <c r="B8" s="847"/>
      <c r="C8" s="847"/>
      <c r="D8" s="848"/>
      <c r="E8" s="371" t="s">
        <v>249</v>
      </c>
      <c r="F8" s="372">
        <f>IF('2.1.c Insumos'!F71="","Preencher valor do CIT em Dados de Insumo",('2.1.c Insumos'!F71/('2.1.b Veículos'!D58*SUM('1.3 Frota Total'!C19:F25))))</f>
        <v>5.9506162148594381E-2</v>
      </c>
      <c r="G8" s="59"/>
      <c r="I8" s="73"/>
      <c r="J8" s="74"/>
      <c r="K8" s="74"/>
      <c r="L8" s="75"/>
    </row>
    <row r="9" spans="1:12" ht="36" customHeight="1" x14ac:dyDescent="0.25">
      <c r="A9" s="846" t="s">
        <v>738</v>
      </c>
      <c r="B9" s="847"/>
      <c r="C9" s="847"/>
      <c r="D9" s="848"/>
      <c r="E9" s="373" t="s">
        <v>151</v>
      </c>
      <c r="F9" s="372">
        <f>IF('2.1.c Insumos'!F72="","Preencher valor do CIE em Dados de Insumo",(0.5*'2.1.c Insumos'!F72/('2.1.b Veículos'!D58*SUM('1.3 Frota Total'!C19:F25))))</f>
        <v>3.6977201663798046E-2</v>
      </c>
      <c r="G9" s="59"/>
    </row>
    <row r="10" spans="1:12" ht="51.75" customHeight="1" x14ac:dyDescent="0.25">
      <c r="A10" s="846" t="s">
        <v>739</v>
      </c>
      <c r="B10" s="847"/>
      <c r="C10" s="847"/>
      <c r="D10" s="848"/>
      <c r="E10" s="373" t="s">
        <v>152</v>
      </c>
      <c r="F10" s="372">
        <f>IF('2.1.c Insumos'!F75="","Preencher valor do CIG em Dados de Insumo",(0.5*'2.1.c Insumos'!F75/('2.1.b Veículos'!D58*SUM('1.3 Frota Total'!C19:F25))))</f>
        <v>1.8376262729489386E-2</v>
      </c>
      <c r="G10" s="59"/>
    </row>
    <row r="11" spans="1:12" ht="15" x14ac:dyDescent="0.25">
      <c r="A11" s="78"/>
      <c r="B11" s="78"/>
      <c r="C11" s="59"/>
      <c r="D11" s="59"/>
      <c r="E11" s="59"/>
      <c r="F11" s="59"/>
      <c r="G11" s="59"/>
      <c r="H11" s="59"/>
      <c r="I11" s="59"/>
      <c r="J11" s="59"/>
      <c r="K11" s="59"/>
    </row>
    <row r="12" spans="1:12" ht="15" x14ac:dyDescent="0.25">
      <c r="A12" s="78"/>
      <c r="B12" s="78"/>
      <c r="C12" s="59"/>
      <c r="D12" s="59"/>
      <c r="E12" s="59"/>
      <c r="F12" s="59"/>
      <c r="G12" s="59"/>
      <c r="H12" s="59"/>
      <c r="I12" s="59"/>
      <c r="J12" s="59"/>
      <c r="K12" s="59"/>
    </row>
    <row r="13" spans="1:12" ht="15.75" x14ac:dyDescent="0.25">
      <c r="A13" s="837"/>
      <c r="B13" s="838"/>
      <c r="C13" s="838"/>
      <c r="D13" s="839"/>
      <c r="E13" s="374" t="s">
        <v>149</v>
      </c>
      <c r="F13" s="375" t="s">
        <v>150</v>
      </c>
      <c r="G13" s="59"/>
    </row>
    <row r="14" spans="1:12" ht="30.75" customHeight="1" x14ac:dyDescent="0.2">
      <c r="A14" s="840" t="s">
        <v>737</v>
      </c>
      <c r="B14" s="841"/>
      <c r="C14" s="841"/>
      <c r="D14" s="842"/>
      <c r="E14" s="376" t="s">
        <v>249</v>
      </c>
      <c r="F14" s="383">
        <v>0.17</v>
      </c>
      <c r="G14" s="290"/>
    </row>
    <row r="15" spans="1:12" ht="42" customHeight="1" x14ac:dyDescent="0.2">
      <c r="A15" s="840" t="s">
        <v>738</v>
      </c>
      <c r="B15" s="841"/>
      <c r="C15" s="841"/>
      <c r="D15" s="842"/>
      <c r="E15" s="377" t="s">
        <v>151</v>
      </c>
      <c r="F15" s="383">
        <v>4.4999999999999998E-2</v>
      </c>
      <c r="G15" s="290"/>
    </row>
    <row r="16" spans="1:12" ht="57.75" customHeight="1" x14ac:dyDescent="0.2">
      <c r="A16" s="840" t="s">
        <v>739</v>
      </c>
      <c r="B16" s="841"/>
      <c r="C16" s="841"/>
      <c r="D16" s="842"/>
      <c r="E16" s="377" t="s">
        <v>152</v>
      </c>
      <c r="F16" s="383">
        <v>1.37E-2</v>
      </c>
      <c r="G16" s="290"/>
    </row>
    <row r="17" spans="1:11" ht="15" x14ac:dyDescent="0.25">
      <c r="A17" s="78"/>
      <c r="B17" s="78"/>
      <c r="C17" s="78"/>
      <c r="D17" s="78"/>
      <c r="E17" s="59"/>
      <c r="F17" s="59"/>
      <c r="G17" s="59"/>
    </row>
    <row r="18" spans="1:11" ht="15" x14ac:dyDescent="0.25">
      <c r="A18" s="115" t="s">
        <v>736</v>
      </c>
      <c r="B18" s="78" t="s">
        <v>740</v>
      </c>
      <c r="C18" s="59"/>
      <c r="D18" s="59"/>
      <c r="E18" s="59"/>
      <c r="F18" s="59"/>
      <c r="G18" s="59"/>
    </row>
    <row r="19" spans="1:11" ht="15" x14ac:dyDescent="0.25">
      <c r="A19" s="59"/>
      <c r="B19" s="59"/>
      <c r="C19" s="59"/>
      <c r="D19" s="59"/>
      <c r="E19" s="378"/>
      <c r="F19" s="59"/>
      <c r="G19" s="59"/>
      <c r="H19" s="59"/>
      <c r="I19" s="59"/>
      <c r="J19" s="59"/>
      <c r="K19" s="59"/>
    </row>
    <row r="20" spans="1:11" ht="15" x14ac:dyDescent="0.25">
      <c r="A20" s="59"/>
      <c r="B20" s="59"/>
      <c r="C20" s="379" t="s">
        <v>153</v>
      </c>
      <c r="D20" s="380">
        <f>IF(F8="Preencher valor do CIT em Dados de Insumo",(('A.X.b.  Remun. garagem equip.'!F14)*('2.1.c Insumos'!F68/100)*'2.1.b Veículos'!D58*SUM('1.3 Frota Total'!C19:F25)/12),(('A.X.b.  Remun. garagem equip.'!F8)*('2.1.c Insumos'!F68/100)*'2.1.b Veículos'!D58*SUM('1.3 Frota Total'!C19:F25)/12))+(IF(F9="Preencher valor do CIE em Dados de Insumo",(('A.X.b.  Remun. garagem equip.'!F15)*('2.1.c Insumos'!F68/100)*'2.1.b Veículos'!D58*SUM('1.3 Frota Total'!C19:F25)/12),(('A.X.b.  Remun. garagem equip.'!F9)*('2.1.c Insumos'!F68/100)*'2.1.b Veículos'!D58*SUM('1.3 Frota Total'!C19:F25)/12)))+(IF(F10="Preencher valor do CIG em Dados de Insumo",(('A.X.b.  Remun. garagem equip.'!F16)*('2.1.c Insumos'!F68/100)*'2.1.b Veículos'!D58*SUM('1.3 Frota Total'!C19:F25)/12),(('A.X.b.  Remun. garagem equip.'!F10)*('2.1.c Insumos'!F68/100)*'2.1.b Veículos'!D58*SUM('1.3 Frota Total'!C19:F25)/12)))</f>
        <v>26586.603699499999</v>
      </c>
      <c r="E20" s="381"/>
      <c r="F20" s="382"/>
      <c r="G20" s="59"/>
      <c r="H20" s="59"/>
      <c r="I20" s="59"/>
      <c r="J20" s="59"/>
      <c r="K20" s="59"/>
    </row>
  </sheetData>
  <sheetProtection password="E299" sheet="1"/>
  <mergeCells count="9">
    <mergeCell ref="I3:L3"/>
    <mergeCell ref="A13:D13"/>
    <mergeCell ref="A14:D14"/>
    <mergeCell ref="A15:D15"/>
    <mergeCell ref="A16:D16"/>
    <mergeCell ref="A7:D7"/>
    <mergeCell ref="A8:D8"/>
    <mergeCell ref="A9:D9"/>
    <mergeCell ref="A10:D10"/>
  </mergeCells>
  <pageMargins left="0.23622047244094491" right="0.23622047244094491" top="0.74803149606299213" bottom="0.74803149606299213" header="0.31496062992125984" footer="0.31496062992125984"/>
  <pageSetup paperSize="9" scale="80"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6">
    <tabColor theme="6" tint="0.39997558519241921"/>
  </sheetPr>
  <dimension ref="A1:J9"/>
  <sheetViews>
    <sheetView showGridLines="0" workbookViewId="0">
      <selection activeCell="I23" sqref="I23"/>
    </sheetView>
  </sheetViews>
  <sheetFormatPr defaultColWidth="11.42578125" defaultRowHeight="15" x14ac:dyDescent="0.25"/>
  <cols>
    <col min="1" max="1" width="7" style="59" customWidth="1"/>
    <col min="2" max="2" width="2.7109375" style="59" customWidth="1"/>
    <col min="3" max="3" width="5.5703125" style="59" bestFit="1" customWidth="1"/>
    <col min="4" max="4" width="22.140625" style="59" customWidth="1"/>
    <col min="5" max="5" width="24.5703125" style="59" customWidth="1"/>
    <col min="6" max="6" width="34.28515625" style="59" customWidth="1"/>
    <col min="7" max="16384" width="11.42578125" style="59"/>
  </cols>
  <sheetData>
    <row r="1" spans="1:10" x14ac:dyDescent="0.25">
      <c r="A1" s="107" t="s">
        <v>725</v>
      </c>
      <c r="B1" s="139"/>
    </row>
    <row r="2" spans="1:10" ht="15.75" thickBot="1" x14ac:dyDescent="0.3">
      <c r="A2" s="78"/>
      <c r="B2" s="78"/>
    </row>
    <row r="3" spans="1:10" ht="15.75" thickBot="1" x14ac:dyDescent="0.3">
      <c r="A3" s="115" t="s">
        <v>742</v>
      </c>
      <c r="B3" s="78" t="s">
        <v>741</v>
      </c>
      <c r="G3" s="537" t="s">
        <v>84</v>
      </c>
      <c r="H3" s="538"/>
      <c r="I3" s="538"/>
      <c r="J3" s="539"/>
    </row>
    <row r="4" spans="1:10" x14ac:dyDescent="0.25">
      <c r="G4" s="62"/>
      <c r="H4" s="63"/>
      <c r="I4" s="63"/>
      <c r="J4" s="64"/>
    </row>
    <row r="5" spans="1:10" x14ac:dyDescent="0.25">
      <c r="A5" s="115" t="s">
        <v>743</v>
      </c>
      <c r="B5" s="78" t="s">
        <v>744</v>
      </c>
      <c r="G5" s="65"/>
      <c r="H5" s="66"/>
      <c r="I5" s="67" t="s">
        <v>82</v>
      </c>
      <c r="J5" s="68"/>
    </row>
    <row r="6" spans="1:10" x14ac:dyDescent="0.25">
      <c r="E6" s="382"/>
      <c r="G6" s="65"/>
      <c r="H6" s="71"/>
      <c r="I6" s="67" t="s">
        <v>94</v>
      </c>
      <c r="J6" s="68"/>
    </row>
    <row r="7" spans="1:10" x14ac:dyDescent="0.25">
      <c r="C7" s="384" t="s">
        <v>255</v>
      </c>
      <c r="D7" s="385">
        <f>IF('2.1.c Insumos'!F78="","Preencher valor do CEB em Dados de Insumo",(0.5*'2.1.c Insumos'!F78/('2.1.b Veículos'!D58*SUM('1.3 Frota Total'!C19:F25))))</f>
        <v>0</v>
      </c>
      <c r="E7" s="382"/>
      <c r="G7" s="65"/>
      <c r="H7" s="72"/>
      <c r="I7" s="67" t="s">
        <v>83</v>
      </c>
      <c r="J7" s="68"/>
    </row>
    <row r="8" spans="1:10" ht="15.75" thickBot="1" x14ac:dyDescent="0.3">
      <c r="G8" s="73"/>
      <c r="H8" s="74"/>
      <c r="I8" s="74"/>
      <c r="J8" s="75"/>
    </row>
    <row r="9" spans="1:10" x14ac:dyDescent="0.25">
      <c r="C9" s="386" t="s">
        <v>255</v>
      </c>
      <c r="D9" s="387">
        <v>0.02</v>
      </c>
      <c r="E9" s="290"/>
    </row>
  </sheetData>
  <sheetProtection password="E299" sheet="1"/>
  <mergeCells count="1">
    <mergeCell ref="G3:J3"/>
  </mergeCells>
  <pageMargins left="0.23622047244094491" right="0.23622047244094491" top="0.74803149606299213" bottom="0.74803149606299213" header="0.31496062992125984" footer="0.31496062992125984"/>
  <pageSetup paperSize="9" scale="85" orientation="landscape" verticalDpi="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7">
    <tabColor theme="6" tint="0.39997558519241921"/>
  </sheetPr>
  <dimension ref="A1:J8"/>
  <sheetViews>
    <sheetView showGridLines="0" workbookViewId="0">
      <selection activeCell="H39" sqref="H39"/>
    </sheetView>
  </sheetViews>
  <sheetFormatPr defaultColWidth="11.42578125" defaultRowHeight="15" x14ac:dyDescent="0.25"/>
  <cols>
    <col min="1" max="1" width="7" style="59" customWidth="1"/>
    <col min="2" max="2" width="2.7109375" style="59" customWidth="1"/>
    <col min="3" max="3" width="5.5703125" style="59" bestFit="1" customWidth="1"/>
    <col min="4" max="4" width="22.140625" style="59" customWidth="1"/>
    <col min="5" max="5" width="24.5703125" style="59" customWidth="1"/>
    <col min="6" max="6" width="8.28515625" style="59" customWidth="1"/>
    <col min="7" max="7" width="1.42578125" style="59" customWidth="1"/>
    <col min="8" max="8" width="8.140625" style="59" customWidth="1"/>
    <col min="9" max="9" width="38.7109375" style="59" bestFit="1" customWidth="1"/>
    <col min="10" max="10" width="1.140625" style="59" customWidth="1"/>
    <col min="11" max="16384" width="11.42578125" style="59"/>
  </cols>
  <sheetData>
    <row r="1" spans="1:10" x14ac:dyDescent="0.25">
      <c r="A1" s="107" t="s">
        <v>725</v>
      </c>
      <c r="B1" s="139"/>
    </row>
    <row r="2" spans="1:10" ht="15.75" thickBot="1" x14ac:dyDescent="0.3">
      <c r="A2" s="78"/>
      <c r="B2" s="78"/>
    </row>
    <row r="3" spans="1:10" ht="15.75" thickBot="1" x14ac:dyDescent="0.3">
      <c r="A3" s="115" t="s">
        <v>745</v>
      </c>
      <c r="B3" s="78" t="s">
        <v>746</v>
      </c>
      <c r="G3" s="537" t="s">
        <v>84</v>
      </c>
      <c r="H3" s="538"/>
      <c r="I3" s="538"/>
      <c r="J3" s="388"/>
    </row>
    <row r="4" spans="1:10" x14ac:dyDescent="0.25">
      <c r="A4" s="115"/>
      <c r="B4" s="78"/>
      <c r="G4" s="62"/>
      <c r="H4" s="63"/>
      <c r="I4" s="63"/>
      <c r="J4" s="64"/>
    </row>
    <row r="5" spans="1:10" x14ac:dyDescent="0.25">
      <c r="A5" s="115" t="s">
        <v>747</v>
      </c>
      <c r="B5" s="78" t="s">
        <v>748</v>
      </c>
      <c r="G5" s="65"/>
      <c r="H5" s="66"/>
      <c r="I5" s="67" t="s">
        <v>82</v>
      </c>
      <c r="J5" s="68"/>
    </row>
    <row r="6" spans="1:10" x14ac:dyDescent="0.25">
      <c r="G6" s="65"/>
      <c r="H6" s="71"/>
      <c r="I6" s="67" t="s">
        <v>94</v>
      </c>
      <c r="J6" s="68"/>
    </row>
    <row r="7" spans="1:10" x14ac:dyDescent="0.25">
      <c r="C7" s="389" t="s">
        <v>258</v>
      </c>
      <c r="D7" s="390">
        <f>0.5*('1.3 Frota Total'!C116*'2.1.b Veículos'!D17+'1.3 Frota Total'!C117*'2.1.b Veículos'!D18+'1.3 Frota Total'!C118*'2.1.b Veículos'!D19+'1.3 Frota Total'!C119*'2.1.b Veículos'!D20+'1.3 Frota Total'!C120*'2.1.b Veículos'!D21)/('2.1.b Veículos'!D58*SUM('1.3 Frota Total'!C19:F25))</f>
        <v>1.0040160642570281E-2</v>
      </c>
      <c r="E7" s="382"/>
      <c r="G7" s="65"/>
      <c r="H7" s="72"/>
      <c r="I7" s="67" t="s">
        <v>83</v>
      </c>
      <c r="J7" s="68"/>
    </row>
    <row r="8" spans="1:10" ht="15.75" thickBot="1" x14ac:dyDescent="0.3">
      <c r="G8" s="73"/>
      <c r="H8" s="74"/>
      <c r="I8" s="74"/>
      <c r="J8" s="75"/>
    </row>
  </sheetData>
  <sheetProtection password="E299" sheet="1"/>
  <mergeCells count="1">
    <mergeCell ref="G3:I3"/>
  </mergeCells>
  <pageMargins left="0.78740157499999996" right="0.78740157499999996" top="0.984251969" bottom="0.984251969" header="0.49212598499999999" footer="0.49212598499999999"/>
  <pageSetup paperSize="9" orientation="landscape" verticalDpi="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8">
    <tabColor theme="6" tint="0.39997558519241921"/>
  </sheetPr>
  <dimension ref="A1:L24"/>
  <sheetViews>
    <sheetView showGridLines="0" workbookViewId="0">
      <selection activeCell="H39" sqref="H39"/>
    </sheetView>
  </sheetViews>
  <sheetFormatPr defaultColWidth="11.42578125" defaultRowHeight="15" x14ac:dyDescent="0.25"/>
  <cols>
    <col min="1" max="1" width="7" style="59" customWidth="1"/>
    <col min="2" max="2" width="2.7109375" style="59" customWidth="1"/>
    <col min="3" max="3" width="5.5703125" style="59" bestFit="1" customWidth="1"/>
    <col min="4" max="4" width="22.140625" style="59" customWidth="1"/>
    <col min="5" max="5" width="24.5703125" style="59" customWidth="1"/>
    <col min="6" max="6" width="8.28515625" style="59" customWidth="1"/>
    <col min="7" max="7" width="1.42578125" style="59" customWidth="1"/>
    <col min="8" max="8" width="15.7109375" style="59" bestFit="1" customWidth="1"/>
    <col min="9" max="9" width="38.7109375" style="59" bestFit="1" customWidth="1"/>
    <col min="10" max="10" width="1.140625" style="59" customWidth="1"/>
    <col min="11" max="16384" width="11.42578125" style="59"/>
  </cols>
  <sheetData>
    <row r="1" spans="1:12" x14ac:dyDescent="0.25">
      <c r="A1" s="107" t="s">
        <v>725</v>
      </c>
    </row>
    <row r="2" spans="1:12" ht="15.75" thickBot="1" x14ac:dyDescent="0.3">
      <c r="A2" s="78" t="s">
        <v>253</v>
      </c>
      <c r="B2" s="59" t="s">
        <v>256</v>
      </c>
    </row>
    <row r="3" spans="1:12" ht="16.5" thickBot="1" x14ac:dyDescent="0.3">
      <c r="A3" s="391"/>
      <c r="B3" s="391"/>
      <c r="C3" s="391"/>
      <c r="D3" s="391"/>
      <c r="E3" s="391"/>
      <c r="G3" s="537" t="s">
        <v>84</v>
      </c>
      <c r="H3" s="538"/>
      <c r="I3" s="538"/>
      <c r="J3" s="539"/>
    </row>
    <row r="4" spans="1:12" ht="15.75" x14ac:dyDescent="0.25">
      <c r="A4" s="849" t="s">
        <v>260</v>
      </c>
      <c r="B4" s="849"/>
      <c r="C4" s="849"/>
      <c r="D4" s="849"/>
      <c r="E4" s="392">
        <f>'2.1.c Insumos'!F62</f>
        <v>25</v>
      </c>
      <c r="G4" s="62"/>
      <c r="H4" s="63"/>
      <c r="I4" s="63"/>
      <c r="J4" s="64"/>
    </row>
    <row r="5" spans="1:12" ht="15.75" x14ac:dyDescent="0.25">
      <c r="A5" s="850" t="s">
        <v>261</v>
      </c>
      <c r="B5" s="851"/>
      <c r="C5" s="851"/>
      <c r="D5" s="852"/>
      <c r="E5" s="393">
        <f>1/E4</f>
        <v>0.04</v>
      </c>
      <c r="G5" s="65"/>
      <c r="H5" s="66"/>
      <c r="I5" s="67" t="s">
        <v>82</v>
      </c>
      <c r="J5" s="68"/>
    </row>
    <row r="6" spans="1:12" ht="15.75" x14ac:dyDescent="0.25">
      <c r="A6" s="391"/>
      <c r="B6" s="391"/>
      <c r="C6" s="391"/>
      <c r="D6" s="391"/>
      <c r="E6" s="391"/>
      <c r="G6" s="65"/>
      <c r="H6" s="71"/>
      <c r="I6" s="67" t="s">
        <v>94</v>
      </c>
      <c r="J6" s="68"/>
    </row>
    <row r="7" spans="1:12" ht="15" customHeight="1" x14ac:dyDescent="0.25">
      <c r="A7" s="78"/>
      <c r="B7" s="78"/>
      <c r="C7" s="78"/>
      <c r="D7" s="78"/>
      <c r="G7" s="65"/>
      <c r="H7" s="72"/>
      <c r="I7" s="67" t="s">
        <v>83</v>
      </c>
      <c r="J7" s="68"/>
    </row>
    <row r="8" spans="1:12" ht="15.75" thickBot="1" x14ac:dyDescent="0.3">
      <c r="A8" s="78" t="s">
        <v>257</v>
      </c>
      <c r="B8" s="78" t="s">
        <v>254</v>
      </c>
      <c r="G8" s="73"/>
      <c r="H8" s="74"/>
      <c r="I8" s="74"/>
      <c r="J8" s="75"/>
    </row>
    <row r="10" spans="1:12" x14ac:dyDescent="0.25">
      <c r="C10" s="394" t="s">
        <v>259</v>
      </c>
      <c r="D10" s="395">
        <f>(1/12)*(1-(E5*(E4/2)))</f>
        <v>4.1666666666666664E-2</v>
      </c>
      <c r="E10" s="382"/>
    </row>
    <row r="16" spans="1:12" ht="15.75" x14ac:dyDescent="0.25">
      <c r="H16" s="391"/>
      <c r="I16" s="391"/>
      <c r="J16" s="391"/>
      <c r="K16" s="391"/>
      <c r="L16" s="391"/>
    </row>
    <row r="24" spans="5:5" x14ac:dyDescent="0.25">
      <c r="E24" s="107"/>
    </row>
  </sheetData>
  <mergeCells count="3">
    <mergeCell ref="G3:J3"/>
    <mergeCell ref="A4:D4"/>
    <mergeCell ref="A5:D5"/>
  </mergeCells>
  <pageMargins left="0.78740157499999996" right="0.78740157499999996" top="0.984251969" bottom="0.984251969" header="0.49212598499999999" footer="0.49212598499999999"/>
  <pageSetup paperSize="9" orientation="landscape" verticalDpi="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9">
    <tabColor theme="6" tint="0.39997558519241921"/>
  </sheetPr>
  <dimension ref="A1:N9"/>
  <sheetViews>
    <sheetView showGridLines="0" workbookViewId="0">
      <selection activeCell="L22" sqref="L22"/>
    </sheetView>
  </sheetViews>
  <sheetFormatPr defaultColWidth="9.140625" defaultRowHeight="12.75" x14ac:dyDescent="0.2"/>
  <cols>
    <col min="1" max="16384" width="9.140625" style="139"/>
  </cols>
  <sheetData>
    <row r="1" spans="1:14" ht="15.75" thickBot="1" x14ac:dyDescent="0.3">
      <c r="A1" s="107" t="s">
        <v>725</v>
      </c>
    </row>
    <row r="2" spans="1:14" ht="15.75" thickBot="1" x14ac:dyDescent="0.3">
      <c r="A2" s="78"/>
      <c r="B2" s="78"/>
      <c r="K2" s="537" t="s">
        <v>84</v>
      </c>
      <c r="L2" s="538"/>
      <c r="M2" s="538"/>
      <c r="N2" s="539"/>
    </row>
    <row r="3" spans="1:14" ht="15" x14ac:dyDescent="0.25">
      <c r="A3" s="115" t="s">
        <v>750</v>
      </c>
      <c r="B3" s="78" t="s">
        <v>749</v>
      </c>
      <c r="K3" s="62"/>
      <c r="L3" s="63"/>
      <c r="M3" s="63"/>
      <c r="N3" s="64"/>
    </row>
    <row r="4" spans="1:14" ht="15" x14ac:dyDescent="0.25">
      <c r="K4" s="65"/>
      <c r="L4" s="66"/>
      <c r="M4" s="67" t="s">
        <v>82</v>
      </c>
      <c r="N4" s="68"/>
    </row>
    <row r="5" spans="1:14" ht="15" x14ac:dyDescent="0.25">
      <c r="A5" s="115" t="s">
        <v>751</v>
      </c>
      <c r="B5" s="78" t="s">
        <v>752</v>
      </c>
      <c r="K5" s="65"/>
      <c r="L5" s="71"/>
      <c r="M5" s="67" t="s">
        <v>94</v>
      </c>
      <c r="N5" s="68"/>
    </row>
    <row r="6" spans="1:14" ht="15" x14ac:dyDescent="0.25">
      <c r="A6" s="115"/>
      <c r="B6" s="78"/>
      <c r="K6" s="65"/>
      <c r="L6" s="72"/>
      <c r="M6" s="67" t="s">
        <v>83</v>
      </c>
      <c r="N6" s="68"/>
    </row>
    <row r="7" spans="1:14" ht="15.75" thickBot="1" x14ac:dyDescent="0.3">
      <c r="A7" s="59"/>
      <c r="B7" s="396" t="s">
        <v>259</v>
      </c>
      <c r="C7" s="397">
        <v>0.5</v>
      </c>
      <c r="D7" s="290"/>
      <c r="E7" s="59"/>
      <c r="K7" s="73"/>
      <c r="L7" s="74"/>
      <c r="M7" s="74"/>
      <c r="N7" s="75"/>
    </row>
    <row r="8" spans="1:14" ht="15" x14ac:dyDescent="0.25">
      <c r="A8" s="59"/>
      <c r="B8" s="59"/>
      <c r="C8" s="59"/>
      <c r="D8" s="382"/>
      <c r="E8" s="59"/>
    </row>
    <row r="9" spans="1:14" ht="15" x14ac:dyDescent="0.25">
      <c r="A9" s="59"/>
      <c r="B9" s="59"/>
      <c r="C9" s="59"/>
      <c r="D9" s="59"/>
      <c r="E9" s="59"/>
    </row>
  </sheetData>
  <sheetProtection password="E159" sheet="1"/>
  <mergeCells count="1">
    <mergeCell ref="K2:N2"/>
  </mergeCells>
  <pageMargins left="0.23622047244094491" right="0.23622047244094491" top="0.74803149606299213" bottom="0.74803149606299213" header="0.31496062992125984" footer="0.31496062992125984"/>
  <pageSetup paperSize="9" scale="95" orientation="landscape"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3">
    <tabColor theme="9" tint="0.59999389629810485"/>
  </sheetPr>
  <dimension ref="A1:S118"/>
  <sheetViews>
    <sheetView showGridLines="0" workbookViewId="0">
      <selection activeCell="H10" sqref="H10"/>
    </sheetView>
  </sheetViews>
  <sheetFormatPr defaultColWidth="0" defaultRowHeight="12.75" x14ac:dyDescent="0.2"/>
  <cols>
    <col min="1" max="1" width="5.85546875" style="88" bestFit="1" customWidth="1"/>
    <col min="2" max="2" width="15.140625" style="88" customWidth="1"/>
    <col min="3" max="3" width="13.28515625" style="88" customWidth="1"/>
    <col min="4" max="4" width="6.28515625" style="88" bestFit="1" customWidth="1"/>
    <col min="5" max="11" width="13.28515625" style="88" customWidth="1"/>
    <col min="12" max="12" width="13.28515625" style="89" customWidth="1"/>
    <col min="13" max="15" width="13.28515625" style="88" customWidth="1"/>
    <col min="16" max="16" width="4.7109375" style="89" customWidth="1"/>
    <col min="17" max="19" width="16.28515625" style="89" customWidth="1"/>
    <col min="20" max="20" width="9.140625" style="89" customWidth="1"/>
    <col min="21" max="16384" width="0" style="89" hidden="1"/>
  </cols>
  <sheetData>
    <row r="1" spans="1:19" ht="15.75" thickBot="1" x14ac:dyDescent="0.3">
      <c r="A1" s="536" t="s">
        <v>501</v>
      </c>
      <c r="B1" s="536"/>
      <c r="C1" s="536"/>
      <c r="D1" s="536"/>
      <c r="E1" s="536"/>
      <c r="F1" s="536"/>
      <c r="G1" s="536"/>
      <c r="H1" s="536"/>
      <c r="I1" s="536"/>
      <c r="J1" s="536"/>
      <c r="K1" s="536"/>
      <c r="L1" s="536"/>
    </row>
    <row r="2" spans="1:19" ht="15.75" thickBot="1" x14ac:dyDescent="0.25">
      <c r="A2" s="90"/>
      <c r="B2" s="90"/>
      <c r="C2" s="90"/>
      <c r="D2" s="90"/>
      <c r="E2" s="90"/>
      <c r="F2" s="90"/>
      <c r="G2" s="90"/>
      <c r="H2" s="90"/>
      <c r="I2" s="90"/>
      <c r="J2" s="90"/>
      <c r="K2" s="537" t="s">
        <v>84</v>
      </c>
      <c r="L2" s="538"/>
      <c r="M2" s="538"/>
      <c r="N2" s="539"/>
    </row>
    <row r="3" spans="1:19" s="94" customFormat="1" ht="15" x14ac:dyDescent="0.25">
      <c r="A3" s="91" t="s">
        <v>502</v>
      </c>
      <c r="B3" s="562" t="s">
        <v>26</v>
      </c>
      <c r="C3" s="563"/>
      <c r="D3" s="87">
        <v>12</v>
      </c>
      <c r="E3" s="92"/>
      <c r="F3" s="93"/>
      <c r="G3" s="93"/>
      <c r="H3" s="93"/>
      <c r="I3" s="93"/>
      <c r="J3" s="93"/>
      <c r="K3" s="62"/>
      <c r="L3" s="63"/>
      <c r="M3" s="63"/>
      <c r="N3" s="64"/>
      <c r="O3" s="92"/>
    </row>
    <row r="4" spans="1:19" ht="15" x14ac:dyDescent="0.25">
      <c r="A4" s="90"/>
      <c r="B4" s="90"/>
      <c r="C4" s="90"/>
      <c r="D4" s="90"/>
      <c r="E4" s="90"/>
      <c r="F4" s="90"/>
      <c r="G4" s="90"/>
      <c r="H4" s="90"/>
      <c r="I4" s="90"/>
      <c r="J4" s="90"/>
      <c r="K4" s="65"/>
      <c r="L4" s="66"/>
      <c r="M4" s="67" t="s">
        <v>82</v>
      </c>
      <c r="N4" s="68"/>
    </row>
    <row r="5" spans="1:19" ht="15" x14ac:dyDescent="0.25">
      <c r="A5" s="91" t="s">
        <v>503</v>
      </c>
      <c r="B5" s="90" t="s">
        <v>216</v>
      </c>
      <c r="C5" s="90"/>
      <c r="D5" s="90"/>
      <c r="E5" s="90"/>
      <c r="F5" s="90"/>
      <c r="G5" s="90"/>
      <c r="H5" s="90"/>
      <c r="I5" s="90"/>
      <c r="J5" s="90"/>
      <c r="K5" s="65"/>
      <c r="L5" s="71"/>
      <c r="M5" s="67" t="s">
        <v>94</v>
      </c>
      <c r="N5" s="68"/>
    </row>
    <row r="6" spans="1:19" s="94" customFormat="1" ht="15" x14ac:dyDescent="0.25">
      <c r="A6" s="91"/>
      <c r="B6" s="567" t="s">
        <v>215</v>
      </c>
      <c r="C6" s="567"/>
      <c r="D6" s="87" t="s">
        <v>395</v>
      </c>
      <c r="E6" s="90" t="s">
        <v>506</v>
      </c>
      <c r="F6" s="93"/>
      <c r="G6" s="93"/>
      <c r="H6" s="93"/>
      <c r="I6" s="93"/>
      <c r="J6" s="93"/>
      <c r="K6" s="65"/>
      <c r="L6" s="72"/>
      <c r="M6" s="67" t="s">
        <v>83</v>
      </c>
      <c r="N6" s="68"/>
      <c r="O6" s="92"/>
    </row>
    <row r="7" spans="1:19" s="94" customFormat="1" ht="15.75" thickBot="1" x14ac:dyDescent="0.3">
      <c r="A7" s="91"/>
      <c r="B7" s="568" t="s">
        <v>214</v>
      </c>
      <c r="C7" s="568"/>
      <c r="D7" s="87"/>
      <c r="E7" s="90" t="s">
        <v>507</v>
      </c>
      <c r="F7" s="93"/>
      <c r="G7" s="93"/>
      <c r="H7" s="93"/>
      <c r="I7" s="93"/>
      <c r="J7" s="93"/>
      <c r="K7" s="73"/>
      <c r="L7" s="74"/>
      <c r="M7" s="74"/>
      <c r="N7" s="75"/>
      <c r="O7" s="92"/>
    </row>
    <row r="8" spans="1:19" x14ac:dyDescent="0.2">
      <c r="A8" s="90"/>
      <c r="B8" s="90"/>
      <c r="C8" s="90"/>
      <c r="D8" s="90"/>
      <c r="E8" s="90"/>
      <c r="F8" s="90"/>
      <c r="G8" s="90"/>
      <c r="H8" s="90"/>
      <c r="I8" s="90"/>
      <c r="J8" s="90"/>
      <c r="K8" s="90"/>
      <c r="L8" s="90"/>
    </row>
    <row r="9" spans="1:19" x14ac:dyDescent="0.2">
      <c r="A9" s="91" t="s">
        <v>504</v>
      </c>
      <c r="B9" s="90" t="s">
        <v>217</v>
      </c>
      <c r="C9" s="90"/>
      <c r="D9" s="90"/>
      <c r="E9" s="90"/>
      <c r="F9" s="90"/>
      <c r="G9" s="90"/>
      <c r="H9" s="90"/>
      <c r="I9" s="90"/>
      <c r="J9" s="90"/>
      <c r="K9" s="90"/>
      <c r="L9" s="90"/>
    </row>
    <row r="10" spans="1:19" x14ac:dyDescent="0.2">
      <c r="A10" s="90"/>
      <c r="B10" s="569" t="s">
        <v>508</v>
      </c>
      <c r="C10" s="569"/>
      <c r="D10" s="557">
        <v>231183</v>
      </c>
      <c r="E10" s="558"/>
      <c r="F10" s="90" t="s">
        <v>24</v>
      </c>
      <c r="G10" s="95"/>
      <c r="H10" s="90"/>
      <c r="I10" s="90"/>
      <c r="J10" s="90"/>
      <c r="K10" s="90"/>
      <c r="L10" s="90"/>
    </row>
    <row r="11" spans="1:19" x14ac:dyDescent="0.2">
      <c r="A11" s="90"/>
      <c r="B11" s="90"/>
      <c r="C11" s="90"/>
      <c r="D11" s="90"/>
      <c r="E11" s="90"/>
      <c r="F11" s="90"/>
      <c r="G11" s="90"/>
      <c r="H11" s="90"/>
      <c r="I11" s="90"/>
      <c r="J11" s="90"/>
      <c r="K11" s="90"/>
      <c r="L11" s="90"/>
    </row>
    <row r="12" spans="1:19" x14ac:dyDescent="0.2">
      <c r="A12" s="91" t="s">
        <v>505</v>
      </c>
      <c r="B12" s="90" t="s">
        <v>509</v>
      </c>
      <c r="C12" s="90"/>
      <c r="D12" s="90"/>
      <c r="E12" s="90"/>
      <c r="F12" s="90"/>
      <c r="G12" s="90"/>
      <c r="H12" s="90"/>
      <c r="I12" s="90"/>
      <c r="J12" s="90"/>
      <c r="K12" s="90"/>
      <c r="L12" s="90"/>
    </row>
    <row r="13" spans="1:19" s="94" customFormat="1" ht="32.25" customHeight="1" x14ac:dyDescent="0.2">
      <c r="A13" s="556" t="s">
        <v>2</v>
      </c>
      <c r="B13" s="556" t="s">
        <v>1</v>
      </c>
      <c r="C13" s="556" t="s">
        <v>510</v>
      </c>
      <c r="D13" s="556"/>
      <c r="E13" s="556"/>
      <c r="F13" s="556"/>
      <c r="G13" s="556" t="s">
        <v>163</v>
      </c>
      <c r="H13" s="556"/>
      <c r="I13" s="556"/>
      <c r="J13" s="556" t="s">
        <v>164</v>
      </c>
      <c r="K13" s="556"/>
      <c r="L13" s="556"/>
      <c r="M13" s="556" t="s">
        <v>5</v>
      </c>
      <c r="N13" s="556"/>
      <c r="O13" s="556"/>
      <c r="Q13" s="555" t="s">
        <v>25</v>
      </c>
      <c r="R13" s="555"/>
      <c r="S13" s="555"/>
    </row>
    <row r="14" spans="1:19" s="94" customFormat="1" x14ac:dyDescent="0.2">
      <c r="A14" s="556"/>
      <c r="B14" s="556"/>
      <c r="C14" s="564" t="s">
        <v>165</v>
      </c>
      <c r="D14" s="566"/>
      <c r="E14" s="566"/>
      <c r="F14" s="565"/>
      <c r="G14" s="564" t="s">
        <v>166</v>
      </c>
      <c r="H14" s="566"/>
      <c r="I14" s="565"/>
      <c r="J14" s="564" t="s">
        <v>167</v>
      </c>
      <c r="K14" s="566"/>
      <c r="L14" s="565"/>
      <c r="M14" s="564" t="s">
        <v>167</v>
      </c>
      <c r="N14" s="566"/>
      <c r="O14" s="565"/>
      <c r="Q14" s="559" t="s">
        <v>167</v>
      </c>
      <c r="R14" s="560"/>
      <c r="S14" s="561"/>
    </row>
    <row r="15" spans="1:19" s="94" customFormat="1" ht="25.5" x14ac:dyDescent="0.2">
      <c r="A15" s="556"/>
      <c r="B15" s="556"/>
      <c r="C15" s="564" t="s">
        <v>3</v>
      </c>
      <c r="D15" s="565"/>
      <c r="E15" s="96" t="s">
        <v>4</v>
      </c>
      <c r="F15" s="96" t="s">
        <v>27</v>
      </c>
      <c r="G15" s="97" t="s">
        <v>3</v>
      </c>
      <c r="H15" s="96" t="s">
        <v>4</v>
      </c>
      <c r="I15" s="96" t="s">
        <v>27</v>
      </c>
      <c r="J15" s="96" t="s">
        <v>3</v>
      </c>
      <c r="K15" s="96" t="s">
        <v>4</v>
      </c>
      <c r="L15" s="96" t="s">
        <v>27</v>
      </c>
      <c r="M15" s="96" t="s">
        <v>3</v>
      </c>
      <c r="N15" s="96" t="s">
        <v>4</v>
      </c>
      <c r="O15" s="96" t="s">
        <v>27</v>
      </c>
      <c r="Q15" s="98" t="s">
        <v>3</v>
      </c>
      <c r="R15" s="98" t="s">
        <v>4</v>
      </c>
      <c r="S15" s="98" t="s">
        <v>27</v>
      </c>
    </row>
    <row r="16" spans="1:19" x14ac:dyDescent="0.2">
      <c r="A16" s="99">
        <v>1</v>
      </c>
      <c r="B16" s="102"/>
      <c r="C16" s="553"/>
      <c r="D16" s="554"/>
      <c r="E16" s="102"/>
      <c r="F16" s="102"/>
      <c r="G16" s="103"/>
      <c r="H16" s="102"/>
      <c r="I16" s="102"/>
      <c r="J16" s="102"/>
      <c r="K16" s="102"/>
      <c r="L16" s="102"/>
      <c r="M16" s="102"/>
      <c r="N16" s="102"/>
      <c r="O16" s="102"/>
      <c r="Q16" s="100">
        <f>((C16*G16*J16)/$D$3)+M16</f>
        <v>0</v>
      </c>
      <c r="R16" s="100">
        <f t="shared" ref="R16:R47" si="0">((E16*H16*K16)/$D$3)+N16</f>
        <v>0</v>
      </c>
      <c r="S16" s="100">
        <f t="shared" ref="S16:S47" si="1">((F16*I16*L16)/$D$3)+O16</f>
        <v>0</v>
      </c>
    </row>
    <row r="17" spans="1:19" x14ac:dyDescent="0.2">
      <c r="A17" s="99">
        <v>2</v>
      </c>
      <c r="B17" s="102"/>
      <c r="C17" s="553"/>
      <c r="D17" s="554"/>
      <c r="E17" s="102"/>
      <c r="F17" s="102"/>
      <c r="G17" s="103"/>
      <c r="H17" s="102"/>
      <c r="I17" s="102"/>
      <c r="J17" s="102"/>
      <c r="K17" s="102"/>
      <c r="L17" s="102"/>
      <c r="M17" s="102"/>
      <c r="N17" s="102"/>
      <c r="O17" s="102"/>
      <c r="Q17" s="100">
        <f t="shared" ref="Q17:Q47" si="2">((C17*G17*J17)/$D$3)+M17</f>
        <v>0</v>
      </c>
      <c r="R17" s="100">
        <f t="shared" si="0"/>
        <v>0</v>
      </c>
      <c r="S17" s="100">
        <f t="shared" si="1"/>
        <v>0</v>
      </c>
    </row>
    <row r="18" spans="1:19" x14ac:dyDescent="0.2">
      <c r="A18" s="99">
        <v>3</v>
      </c>
      <c r="B18" s="102"/>
      <c r="C18" s="553"/>
      <c r="D18" s="554"/>
      <c r="E18" s="102"/>
      <c r="F18" s="102"/>
      <c r="G18" s="103"/>
      <c r="H18" s="102"/>
      <c r="I18" s="102"/>
      <c r="J18" s="102"/>
      <c r="K18" s="102"/>
      <c r="L18" s="102"/>
      <c r="M18" s="102"/>
      <c r="N18" s="102"/>
      <c r="O18" s="102"/>
      <c r="Q18" s="100">
        <f t="shared" si="2"/>
        <v>0</v>
      </c>
      <c r="R18" s="100">
        <f t="shared" si="0"/>
        <v>0</v>
      </c>
      <c r="S18" s="100">
        <f t="shared" si="1"/>
        <v>0</v>
      </c>
    </row>
    <row r="19" spans="1:19" x14ac:dyDescent="0.2">
      <c r="A19" s="99">
        <v>4</v>
      </c>
      <c r="B19" s="102"/>
      <c r="C19" s="553"/>
      <c r="D19" s="554"/>
      <c r="E19" s="102"/>
      <c r="F19" s="102"/>
      <c r="G19" s="103"/>
      <c r="H19" s="102"/>
      <c r="I19" s="102"/>
      <c r="J19" s="102"/>
      <c r="K19" s="102"/>
      <c r="L19" s="102"/>
      <c r="M19" s="102"/>
      <c r="N19" s="102"/>
      <c r="O19" s="102"/>
      <c r="Q19" s="100">
        <f t="shared" si="2"/>
        <v>0</v>
      </c>
      <c r="R19" s="100">
        <f t="shared" si="0"/>
        <v>0</v>
      </c>
      <c r="S19" s="100">
        <f t="shared" si="1"/>
        <v>0</v>
      </c>
    </row>
    <row r="20" spans="1:19" x14ac:dyDescent="0.2">
      <c r="A20" s="99">
        <v>5</v>
      </c>
      <c r="B20" s="102"/>
      <c r="C20" s="553"/>
      <c r="D20" s="554"/>
      <c r="E20" s="102"/>
      <c r="F20" s="102"/>
      <c r="G20" s="103"/>
      <c r="H20" s="102"/>
      <c r="I20" s="102"/>
      <c r="J20" s="102"/>
      <c r="K20" s="102"/>
      <c r="L20" s="102"/>
      <c r="M20" s="102"/>
      <c r="N20" s="102"/>
      <c r="O20" s="102"/>
      <c r="Q20" s="100">
        <f t="shared" si="2"/>
        <v>0</v>
      </c>
      <c r="R20" s="100">
        <f t="shared" si="0"/>
        <v>0</v>
      </c>
      <c r="S20" s="100">
        <f t="shared" si="1"/>
        <v>0</v>
      </c>
    </row>
    <row r="21" spans="1:19" x14ac:dyDescent="0.2">
      <c r="A21" s="99">
        <v>6</v>
      </c>
      <c r="B21" s="102"/>
      <c r="C21" s="553"/>
      <c r="D21" s="554"/>
      <c r="E21" s="102"/>
      <c r="F21" s="102"/>
      <c r="G21" s="103"/>
      <c r="H21" s="102"/>
      <c r="I21" s="102"/>
      <c r="J21" s="102"/>
      <c r="K21" s="102"/>
      <c r="L21" s="102"/>
      <c r="M21" s="102"/>
      <c r="N21" s="102"/>
      <c r="O21" s="102"/>
      <c r="Q21" s="100">
        <f t="shared" si="2"/>
        <v>0</v>
      </c>
      <c r="R21" s="100">
        <f t="shared" si="0"/>
        <v>0</v>
      </c>
      <c r="S21" s="100">
        <f t="shared" si="1"/>
        <v>0</v>
      </c>
    </row>
    <row r="22" spans="1:19" x14ac:dyDescent="0.2">
      <c r="A22" s="99">
        <v>7</v>
      </c>
      <c r="B22" s="102"/>
      <c r="C22" s="553"/>
      <c r="D22" s="554"/>
      <c r="E22" s="102"/>
      <c r="F22" s="102"/>
      <c r="G22" s="103"/>
      <c r="H22" s="102"/>
      <c r="I22" s="102"/>
      <c r="J22" s="102"/>
      <c r="K22" s="102"/>
      <c r="L22" s="102"/>
      <c r="M22" s="102"/>
      <c r="N22" s="102"/>
      <c r="O22" s="102"/>
      <c r="Q22" s="100">
        <f t="shared" si="2"/>
        <v>0</v>
      </c>
      <c r="R22" s="100">
        <f t="shared" si="0"/>
        <v>0</v>
      </c>
      <c r="S22" s="100">
        <f t="shared" si="1"/>
        <v>0</v>
      </c>
    </row>
    <row r="23" spans="1:19" x14ac:dyDescent="0.2">
      <c r="A23" s="99">
        <v>8</v>
      </c>
      <c r="B23" s="102"/>
      <c r="C23" s="553"/>
      <c r="D23" s="554"/>
      <c r="E23" s="102"/>
      <c r="F23" s="102"/>
      <c r="G23" s="103"/>
      <c r="H23" s="102"/>
      <c r="I23" s="102"/>
      <c r="J23" s="102"/>
      <c r="K23" s="102"/>
      <c r="L23" s="102"/>
      <c r="M23" s="102"/>
      <c r="N23" s="102"/>
      <c r="O23" s="102"/>
      <c r="Q23" s="100">
        <f t="shared" si="2"/>
        <v>0</v>
      </c>
      <c r="R23" s="100">
        <f t="shared" si="0"/>
        <v>0</v>
      </c>
      <c r="S23" s="100">
        <f t="shared" si="1"/>
        <v>0</v>
      </c>
    </row>
    <row r="24" spans="1:19" x14ac:dyDescent="0.2">
      <c r="A24" s="99">
        <v>9</v>
      </c>
      <c r="B24" s="102"/>
      <c r="C24" s="553"/>
      <c r="D24" s="554"/>
      <c r="E24" s="102"/>
      <c r="F24" s="102"/>
      <c r="G24" s="103"/>
      <c r="H24" s="102"/>
      <c r="I24" s="102"/>
      <c r="J24" s="102"/>
      <c r="K24" s="102"/>
      <c r="L24" s="102"/>
      <c r="M24" s="102"/>
      <c r="N24" s="102"/>
      <c r="O24" s="102"/>
      <c r="Q24" s="100">
        <f t="shared" si="2"/>
        <v>0</v>
      </c>
      <c r="R24" s="100">
        <f t="shared" si="0"/>
        <v>0</v>
      </c>
      <c r="S24" s="100">
        <f t="shared" si="1"/>
        <v>0</v>
      </c>
    </row>
    <row r="25" spans="1:19" x14ac:dyDescent="0.2">
      <c r="A25" s="99">
        <v>10</v>
      </c>
      <c r="B25" s="102"/>
      <c r="C25" s="553"/>
      <c r="D25" s="554"/>
      <c r="E25" s="102"/>
      <c r="F25" s="102"/>
      <c r="G25" s="103"/>
      <c r="H25" s="102"/>
      <c r="I25" s="102"/>
      <c r="J25" s="102"/>
      <c r="K25" s="102"/>
      <c r="L25" s="102"/>
      <c r="M25" s="102"/>
      <c r="N25" s="102"/>
      <c r="O25" s="102"/>
      <c r="Q25" s="100">
        <f t="shared" si="2"/>
        <v>0</v>
      </c>
      <c r="R25" s="100">
        <f t="shared" si="0"/>
        <v>0</v>
      </c>
      <c r="S25" s="100">
        <f t="shared" si="1"/>
        <v>0</v>
      </c>
    </row>
    <row r="26" spans="1:19" x14ac:dyDescent="0.2">
      <c r="A26" s="99">
        <v>11</v>
      </c>
      <c r="B26" s="102"/>
      <c r="C26" s="553"/>
      <c r="D26" s="554"/>
      <c r="E26" s="102"/>
      <c r="F26" s="102"/>
      <c r="G26" s="103"/>
      <c r="H26" s="102"/>
      <c r="I26" s="102"/>
      <c r="J26" s="102"/>
      <c r="K26" s="102"/>
      <c r="L26" s="102"/>
      <c r="M26" s="102"/>
      <c r="N26" s="102"/>
      <c r="O26" s="102"/>
      <c r="Q26" s="100">
        <f>((C26*G26*J26)/$D$3)+M26</f>
        <v>0</v>
      </c>
      <c r="R26" s="100">
        <f t="shared" si="0"/>
        <v>0</v>
      </c>
      <c r="S26" s="100">
        <f t="shared" si="1"/>
        <v>0</v>
      </c>
    </row>
    <row r="27" spans="1:19" x14ac:dyDescent="0.2">
      <c r="A27" s="99">
        <v>12</v>
      </c>
      <c r="B27" s="102"/>
      <c r="C27" s="553"/>
      <c r="D27" s="554"/>
      <c r="E27" s="102"/>
      <c r="F27" s="102"/>
      <c r="G27" s="103"/>
      <c r="H27" s="102"/>
      <c r="I27" s="102"/>
      <c r="J27" s="102"/>
      <c r="K27" s="102"/>
      <c r="L27" s="102"/>
      <c r="M27" s="102"/>
      <c r="N27" s="102"/>
      <c r="O27" s="102"/>
      <c r="Q27" s="100">
        <f t="shared" si="2"/>
        <v>0</v>
      </c>
      <c r="R27" s="100">
        <f t="shared" si="0"/>
        <v>0</v>
      </c>
      <c r="S27" s="100">
        <f t="shared" si="1"/>
        <v>0</v>
      </c>
    </row>
    <row r="28" spans="1:19" x14ac:dyDescent="0.2">
      <c r="A28" s="99">
        <v>13</v>
      </c>
      <c r="B28" s="102"/>
      <c r="C28" s="553"/>
      <c r="D28" s="554"/>
      <c r="E28" s="102"/>
      <c r="F28" s="102"/>
      <c r="G28" s="103"/>
      <c r="H28" s="102"/>
      <c r="I28" s="102"/>
      <c r="J28" s="102"/>
      <c r="K28" s="102"/>
      <c r="L28" s="102"/>
      <c r="M28" s="102"/>
      <c r="N28" s="102"/>
      <c r="O28" s="102"/>
      <c r="Q28" s="100">
        <f t="shared" si="2"/>
        <v>0</v>
      </c>
      <c r="R28" s="100">
        <f t="shared" si="0"/>
        <v>0</v>
      </c>
      <c r="S28" s="100">
        <f t="shared" si="1"/>
        <v>0</v>
      </c>
    </row>
    <row r="29" spans="1:19" x14ac:dyDescent="0.2">
      <c r="A29" s="99">
        <v>14</v>
      </c>
      <c r="B29" s="102"/>
      <c r="C29" s="553"/>
      <c r="D29" s="554"/>
      <c r="E29" s="102"/>
      <c r="F29" s="102"/>
      <c r="G29" s="103"/>
      <c r="H29" s="102"/>
      <c r="I29" s="102"/>
      <c r="J29" s="102"/>
      <c r="K29" s="102"/>
      <c r="L29" s="102"/>
      <c r="M29" s="102"/>
      <c r="N29" s="102"/>
      <c r="O29" s="102"/>
      <c r="Q29" s="100">
        <f t="shared" si="2"/>
        <v>0</v>
      </c>
      <c r="R29" s="100">
        <f t="shared" si="0"/>
        <v>0</v>
      </c>
      <c r="S29" s="100">
        <f t="shared" si="1"/>
        <v>0</v>
      </c>
    </row>
    <row r="30" spans="1:19" x14ac:dyDescent="0.2">
      <c r="A30" s="99">
        <v>15</v>
      </c>
      <c r="B30" s="102"/>
      <c r="C30" s="553"/>
      <c r="D30" s="554"/>
      <c r="E30" s="102"/>
      <c r="F30" s="102"/>
      <c r="G30" s="103"/>
      <c r="H30" s="102"/>
      <c r="I30" s="102"/>
      <c r="J30" s="102"/>
      <c r="K30" s="102"/>
      <c r="L30" s="102"/>
      <c r="M30" s="102"/>
      <c r="N30" s="102"/>
      <c r="O30" s="102"/>
      <c r="Q30" s="100">
        <f t="shared" si="2"/>
        <v>0</v>
      </c>
      <c r="R30" s="100">
        <f t="shared" si="0"/>
        <v>0</v>
      </c>
      <c r="S30" s="100">
        <f t="shared" si="1"/>
        <v>0</v>
      </c>
    </row>
    <row r="31" spans="1:19" x14ac:dyDescent="0.2">
      <c r="A31" s="99">
        <v>16</v>
      </c>
      <c r="B31" s="102"/>
      <c r="C31" s="553"/>
      <c r="D31" s="554"/>
      <c r="E31" s="102"/>
      <c r="F31" s="102"/>
      <c r="G31" s="103"/>
      <c r="H31" s="102"/>
      <c r="I31" s="102"/>
      <c r="J31" s="102"/>
      <c r="K31" s="102"/>
      <c r="L31" s="102"/>
      <c r="M31" s="102"/>
      <c r="N31" s="102"/>
      <c r="O31" s="102"/>
      <c r="Q31" s="100">
        <f t="shared" si="2"/>
        <v>0</v>
      </c>
      <c r="R31" s="100">
        <f t="shared" si="0"/>
        <v>0</v>
      </c>
      <c r="S31" s="100">
        <f t="shared" si="1"/>
        <v>0</v>
      </c>
    </row>
    <row r="32" spans="1:19" x14ac:dyDescent="0.2">
      <c r="A32" s="99">
        <v>17</v>
      </c>
      <c r="B32" s="102"/>
      <c r="C32" s="553"/>
      <c r="D32" s="554"/>
      <c r="E32" s="102"/>
      <c r="F32" s="102"/>
      <c r="G32" s="103"/>
      <c r="H32" s="102"/>
      <c r="I32" s="102"/>
      <c r="J32" s="102"/>
      <c r="K32" s="102"/>
      <c r="L32" s="102"/>
      <c r="M32" s="102"/>
      <c r="N32" s="102"/>
      <c r="O32" s="102"/>
      <c r="Q32" s="100">
        <f t="shared" si="2"/>
        <v>0</v>
      </c>
      <c r="R32" s="100">
        <f t="shared" si="0"/>
        <v>0</v>
      </c>
      <c r="S32" s="100">
        <f t="shared" si="1"/>
        <v>0</v>
      </c>
    </row>
    <row r="33" spans="1:19" x14ac:dyDescent="0.2">
      <c r="A33" s="99">
        <v>18</v>
      </c>
      <c r="B33" s="102"/>
      <c r="C33" s="553"/>
      <c r="D33" s="554"/>
      <c r="E33" s="102"/>
      <c r="F33" s="102"/>
      <c r="G33" s="103"/>
      <c r="H33" s="102"/>
      <c r="I33" s="102"/>
      <c r="J33" s="102"/>
      <c r="K33" s="102"/>
      <c r="L33" s="102"/>
      <c r="M33" s="102"/>
      <c r="N33" s="102"/>
      <c r="O33" s="102"/>
      <c r="Q33" s="100">
        <f t="shared" si="2"/>
        <v>0</v>
      </c>
      <c r="R33" s="100">
        <f t="shared" si="0"/>
        <v>0</v>
      </c>
      <c r="S33" s="100">
        <f t="shared" si="1"/>
        <v>0</v>
      </c>
    </row>
    <row r="34" spans="1:19" x14ac:dyDescent="0.2">
      <c r="A34" s="99">
        <v>19</v>
      </c>
      <c r="B34" s="102"/>
      <c r="C34" s="553"/>
      <c r="D34" s="554"/>
      <c r="E34" s="102"/>
      <c r="F34" s="102"/>
      <c r="G34" s="103"/>
      <c r="H34" s="102"/>
      <c r="I34" s="102"/>
      <c r="J34" s="102"/>
      <c r="K34" s="102"/>
      <c r="L34" s="102"/>
      <c r="M34" s="102"/>
      <c r="N34" s="102"/>
      <c r="O34" s="102"/>
      <c r="Q34" s="100">
        <f t="shared" si="2"/>
        <v>0</v>
      </c>
      <c r="R34" s="100">
        <f t="shared" si="0"/>
        <v>0</v>
      </c>
      <c r="S34" s="100">
        <f t="shared" si="1"/>
        <v>0</v>
      </c>
    </row>
    <row r="35" spans="1:19" x14ac:dyDescent="0.2">
      <c r="A35" s="99">
        <v>20</v>
      </c>
      <c r="B35" s="102"/>
      <c r="C35" s="553"/>
      <c r="D35" s="554"/>
      <c r="E35" s="102"/>
      <c r="F35" s="102"/>
      <c r="G35" s="103"/>
      <c r="H35" s="102"/>
      <c r="I35" s="102"/>
      <c r="J35" s="102"/>
      <c r="K35" s="102"/>
      <c r="L35" s="102"/>
      <c r="M35" s="102"/>
      <c r="N35" s="102"/>
      <c r="O35" s="102"/>
      <c r="Q35" s="100">
        <f t="shared" si="2"/>
        <v>0</v>
      </c>
      <c r="R35" s="100">
        <f t="shared" si="0"/>
        <v>0</v>
      </c>
      <c r="S35" s="100">
        <f t="shared" si="1"/>
        <v>0</v>
      </c>
    </row>
    <row r="36" spans="1:19" x14ac:dyDescent="0.2">
      <c r="A36" s="99">
        <v>21</v>
      </c>
      <c r="B36" s="102"/>
      <c r="C36" s="553"/>
      <c r="D36" s="554"/>
      <c r="E36" s="102"/>
      <c r="F36" s="102"/>
      <c r="G36" s="103"/>
      <c r="H36" s="102"/>
      <c r="I36" s="102"/>
      <c r="J36" s="102"/>
      <c r="K36" s="102"/>
      <c r="L36" s="102"/>
      <c r="M36" s="102"/>
      <c r="N36" s="102"/>
      <c r="O36" s="102"/>
      <c r="Q36" s="100">
        <f t="shared" si="2"/>
        <v>0</v>
      </c>
      <c r="R36" s="100">
        <f t="shared" si="0"/>
        <v>0</v>
      </c>
      <c r="S36" s="100">
        <f t="shared" si="1"/>
        <v>0</v>
      </c>
    </row>
    <row r="37" spans="1:19" x14ac:dyDescent="0.2">
      <c r="A37" s="99">
        <v>22</v>
      </c>
      <c r="B37" s="102"/>
      <c r="C37" s="553"/>
      <c r="D37" s="554"/>
      <c r="E37" s="102"/>
      <c r="F37" s="102"/>
      <c r="G37" s="103"/>
      <c r="H37" s="102"/>
      <c r="I37" s="102"/>
      <c r="J37" s="102"/>
      <c r="K37" s="102"/>
      <c r="L37" s="102"/>
      <c r="M37" s="102"/>
      <c r="N37" s="102"/>
      <c r="O37" s="102"/>
      <c r="Q37" s="100">
        <f t="shared" si="2"/>
        <v>0</v>
      </c>
      <c r="R37" s="100">
        <f t="shared" si="0"/>
        <v>0</v>
      </c>
      <c r="S37" s="100">
        <f t="shared" si="1"/>
        <v>0</v>
      </c>
    </row>
    <row r="38" spans="1:19" x14ac:dyDescent="0.2">
      <c r="A38" s="99">
        <v>23</v>
      </c>
      <c r="B38" s="102"/>
      <c r="C38" s="553"/>
      <c r="D38" s="554"/>
      <c r="E38" s="102"/>
      <c r="F38" s="102"/>
      <c r="G38" s="103"/>
      <c r="H38" s="102"/>
      <c r="I38" s="102"/>
      <c r="J38" s="102"/>
      <c r="K38" s="102"/>
      <c r="L38" s="102"/>
      <c r="M38" s="102"/>
      <c r="N38" s="102"/>
      <c r="O38" s="102"/>
      <c r="Q38" s="100">
        <f t="shared" si="2"/>
        <v>0</v>
      </c>
      <c r="R38" s="100">
        <f t="shared" si="0"/>
        <v>0</v>
      </c>
      <c r="S38" s="100">
        <f t="shared" si="1"/>
        <v>0</v>
      </c>
    </row>
    <row r="39" spans="1:19" x14ac:dyDescent="0.2">
      <c r="A39" s="99">
        <v>24</v>
      </c>
      <c r="B39" s="102"/>
      <c r="C39" s="553"/>
      <c r="D39" s="554"/>
      <c r="E39" s="102"/>
      <c r="F39" s="102"/>
      <c r="G39" s="103"/>
      <c r="H39" s="102"/>
      <c r="I39" s="102"/>
      <c r="J39" s="102"/>
      <c r="K39" s="102"/>
      <c r="L39" s="102"/>
      <c r="M39" s="102"/>
      <c r="N39" s="102"/>
      <c r="O39" s="102"/>
      <c r="Q39" s="100">
        <f t="shared" si="2"/>
        <v>0</v>
      </c>
      <c r="R39" s="100">
        <f t="shared" si="0"/>
        <v>0</v>
      </c>
      <c r="S39" s="100">
        <f t="shared" si="1"/>
        <v>0</v>
      </c>
    </row>
    <row r="40" spans="1:19" x14ac:dyDescent="0.2">
      <c r="A40" s="99">
        <v>25</v>
      </c>
      <c r="B40" s="102"/>
      <c r="C40" s="553"/>
      <c r="D40" s="554"/>
      <c r="E40" s="102"/>
      <c r="F40" s="102"/>
      <c r="G40" s="103"/>
      <c r="H40" s="102"/>
      <c r="I40" s="102"/>
      <c r="J40" s="102"/>
      <c r="K40" s="102"/>
      <c r="L40" s="102"/>
      <c r="M40" s="102"/>
      <c r="N40" s="102"/>
      <c r="O40" s="102"/>
      <c r="Q40" s="100">
        <f t="shared" si="2"/>
        <v>0</v>
      </c>
      <c r="R40" s="100">
        <f t="shared" si="0"/>
        <v>0</v>
      </c>
      <c r="S40" s="100">
        <f t="shared" si="1"/>
        <v>0</v>
      </c>
    </row>
    <row r="41" spans="1:19" x14ac:dyDescent="0.2">
      <c r="A41" s="99">
        <v>26</v>
      </c>
      <c r="B41" s="102"/>
      <c r="C41" s="553"/>
      <c r="D41" s="554"/>
      <c r="E41" s="102"/>
      <c r="F41" s="102"/>
      <c r="G41" s="103"/>
      <c r="H41" s="102"/>
      <c r="I41" s="102"/>
      <c r="J41" s="102"/>
      <c r="K41" s="102"/>
      <c r="L41" s="102"/>
      <c r="M41" s="102"/>
      <c r="N41" s="102"/>
      <c r="O41" s="102"/>
      <c r="Q41" s="100">
        <f t="shared" si="2"/>
        <v>0</v>
      </c>
      <c r="R41" s="100">
        <f t="shared" si="0"/>
        <v>0</v>
      </c>
      <c r="S41" s="100">
        <f t="shared" si="1"/>
        <v>0</v>
      </c>
    </row>
    <row r="42" spans="1:19" x14ac:dyDescent="0.2">
      <c r="A42" s="99">
        <v>27</v>
      </c>
      <c r="B42" s="102"/>
      <c r="C42" s="553"/>
      <c r="D42" s="554"/>
      <c r="E42" s="102"/>
      <c r="F42" s="102"/>
      <c r="G42" s="103"/>
      <c r="H42" s="102"/>
      <c r="I42" s="102"/>
      <c r="J42" s="102"/>
      <c r="K42" s="102"/>
      <c r="L42" s="102"/>
      <c r="M42" s="102"/>
      <c r="N42" s="102"/>
      <c r="O42" s="102"/>
      <c r="Q42" s="100">
        <f t="shared" si="2"/>
        <v>0</v>
      </c>
      <c r="R42" s="100">
        <f t="shared" si="0"/>
        <v>0</v>
      </c>
      <c r="S42" s="100">
        <f t="shared" si="1"/>
        <v>0</v>
      </c>
    </row>
    <row r="43" spans="1:19" x14ac:dyDescent="0.2">
      <c r="A43" s="99">
        <v>28</v>
      </c>
      <c r="B43" s="102"/>
      <c r="C43" s="553"/>
      <c r="D43" s="554"/>
      <c r="E43" s="102"/>
      <c r="F43" s="102"/>
      <c r="G43" s="103"/>
      <c r="H43" s="102"/>
      <c r="I43" s="102"/>
      <c r="J43" s="102"/>
      <c r="K43" s="102"/>
      <c r="L43" s="102"/>
      <c r="M43" s="102"/>
      <c r="N43" s="102"/>
      <c r="O43" s="102"/>
      <c r="Q43" s="100">
        <f t="shared" si="2"/>
        <v>0</v>
      </c>
      <c r="R43" s="100">
        <f t="shared" si="0"/>
        <v>0</v>
      </c>
      <c r="S43" s="100">
        <f t="shared" si="1"/>
        <v>0</v>
      </c>
    </row>
    <row r="44" spans="1:19" x14ac:dyDescent="0.2">
      <c r="A44" s="99">
        <v>29</v>
      </c>
      <c r="B44" s="102"/>
      <c r="C44" s="553"/>
      <c r="D44" s="554"/>
      <c r="E44" s="102"/>
      <c r="F44" s="102"/>
      <c r="G44" s="103"/>
      <c r="H44" s="102"/>
      <c r="I44" s="102"/>
      <c r="J44" s="102"/>
      <c r="K44" s="102"/>
      <c r="L44" s="102"/>
      <c r="M44" s="102"/>
      <c r="N44" s="102"/>
      <c r="O44" s="102"/>
      <c r="Q44" s="100">
        <f t="shared" si="2"/>
        <v>0</v>
      </c>
      <c r="R44" s="100">
        <f t="shared" si="0"/>
        <v>0</v>
      </c>
      <c r="S44" s="100">
        <f t="shared" si="1"/>
        <v>0</v>
      </c>
    </row>
    <row r="45" spans="1:19" x14ac:dyDescent="0.2">
      <c r="A45" s="99">
        <v>30</v>
      </c>
      <c r="B45" s="102"/>
      <c r="C45" s="553"/>
      <c r="D45" s="554"/>
      <c r="E45" s="102"/>
      <c r="F45" s="102"/>
      <c r="G45" s="103"/>
      <c r="H45" s="102"/>
      <c r="I45" s="102"/>
      <c r="J45" s="102"/>
      <c r="K45" s="102"/>
      <c r="L45" s="102"/>
      <c r="M45" s="102"/>
      <c r="N45" s="102"/>
      <c r="O45" s="102"/>
      <c r="Q45" s="100">
        <f t="shared" si="2"/>
        <v>0</v>
      </c>
      <c r="R45" s="100">
        <f t="shared" si="0"/>
        <v>0</v>
      </c>
      <c r="S45" s="100">
        <f t="shared" si="1"/>
        <v>0</v>
      </c>
    </row>
    <row r="46" spans="1:19" x14ac:dyDescent="0.2">
      <c r="A46" s="99">
        <v>31</v>
      </c>
      <c r="B46" s="102"/>
      <c r="C46" s="553"/>
      <c r="D46" s="554"/>
      <c r="E46" s="102"/>
      <c r="F46" s="102"/>
      <c r="G46" s="103"/>
      <c r="H46" s="102"/>
      <c r="I46" s="102"/>
      <c r="J46" s="102"/>
      <c r="K46" s="102"/>
      <c r="L46" s="102"/>
      <c r="M46" s="102"/>
      <c r="N46" s="102"/>
      <c r="O46" s="102"/>
      <c r="Q46" s="100">
        <f t="shared" si="2"/>
        <v>0</v>
      </c>
      <c r="R46" s="100">
        <f t="shared" si="0"/>
        <v>0</v>
      </c>
      <c r="S46" s="100">
        <f t="shared" si="1"/>
        <v>0</v>
      </c>
    </row>
    <row r="47" spans="1:19" x14ac:dyDescent="0.2">
      <c r="A47" s="99">
        <v>32</v>
      </c>
      <c r="B47" s="102"/>
      <c r="C47" s="553"/>
      <c r="D47" s="554"/>
      <c r="E47" s="102"/>
      <c r="F47" s="102"/>
      <c r="G47" s="103"/>
      <c r="H47" s="102"/>
      <c r="I47" s="102"/>
      <c r="J47" s="102"/>
      <c r="K47" s="102"/>
      <c r="L47" s="102"/>
      <c r="M47" s="102"/>
      <c r="N47" s="102"/>
      <c r="O47" s="102"/>
      <c r="Q47" s="100">
        <f t="shared" si="2"/>
        <v>0</v>
      </c>
      <c r="R47" s="100">
        <f t="shared" si="0"/>
        <v>0</v>
      </c>
      <c r="S47" s="100">
        <f t="shared" si="1"/>
        <v>0</v>
      </c>
    </row>
    <row r="48" spans="1:19" x14ac:dyDescent="0.2">
      <c r="A48" s="99">
        <v>33</v>
      </c>
      <c r="B48" s="102"/>
      <c r="C48" s="553"/>
      <c r="D48" s="554"/>
      <c r="E48" s="102"/>
      <c r="F48" s="102"/>
      <c r="G48" s="103"/>
      <c r="H48" s="102"/>
      <c r="I48" s="102"/>
      <c r="J48" s="102"/>
      <c r="K48" s="102"/>
      <c r="L48" s="102"/>
      <c r="M48" s="102"/>
      <c r="N48" s="102"/>
      <c r="O48" s="102"/>
      <c r="Q48" s="100">
        <f t="shared" ref="Q48:Q79" si="3">((C48*G48*J48)/$D$3)+M48</f>
        <v>0</v>
      </c>
      <c r="R48" s="100">
        <f t="shared" ref="R48:R79" si="4">((E48*H48*K48)/$D$3)+N48</f>
        <v>0</v>
      </c>
      <c r="S48" s="100">
        <f t="shared" ref="S48:S79" si="5">((F48*I48*L48)/$D$3)+O48</f>
        <v>0</v>
      </c>
    </row>
    <row r="49" spans="1:19" x14ac:dyDescent="0.2">
      <c r="A49" s="99">
        <v>34</v>
      </c>
      <c r="B49" s="102"/>
      <c r="C49" s="553"/>
      <c r="D49" s="554"/>
      <c r="E49" s="102"/>
      <c r="F49" s="102"/>
      <c r="G49" s="103"/>
      <c r="H49" s="102"/>
      <c r="I49" s="102"/>
      <c r="J49" s="102"/>
      <c r="K49" s="102"/>
      <c r="L49" s="102"/>
      <c r="M49" s="102"/>
      <c r="N49" s="102"/>
      <c r="O49" s="102"/>
      <c r="Q49" s="100">
        <f t="shared" si="3"/>
        <v>0</v>
      </c>
      <c r="R49" s="100">
        <f t="shared" si="4"/>
        <v>0</v>
      </c>
      <c r="S49" s="100">
        <f t="shared" si="5"/>
        <v>0</v>
      </c>
    </row>
    <row r="50" spans="1:19" x14ac:dyDescent="0.2">
      <c r="A50" s="99">
        <v>35</v>
      </c>
      <c r="B50" s="102"/>
      <c r="C50" s="553"/>
      <c r="D50" s="554"/>
      <c r="E50" s="102"/>
      <c r="F50" s="102"/>
      <c r="G50" s="103"/>
      <c r="H50" s="102"/>
      <c r="I50" s="102"/>
      <c r="J50" s="102"/>
      <c r="K50" s="102"/>
      <c r="L50" s="102"/>
      <c r="M50" s="102"/>
      <c r="N50" s="102"/>
      <c r="O50" s="102"/>
      <c r="Q50" s="100">
        <f t="shared" si="3"/>
        <v>0</v>
      </c>
      <c r="R50" s="100">
        <f t="shared" si="4"/>
        <v>0</v>
      </c>
      <c r="S50" s="100">
        <f t="shared" si="5"/>
        <v>0</v>
      </c>
    </row>
    <row r="51" spans="1:19" x14ac:dyDescent="0.2">
      <c r="A51" s="99">
        <v>36</v>
      </c>
      <c r="B51" s="102"/>
      <c r="C51" s="553"/>
      <c r="D51" s="554"/>
      <c r="E51" s="102"/>
      <c r="F51" s="102"/>
      <c r="G51" s="103"/>
      <c r="H51" s="102"/>
      <c r="I51" s="102"/>
      <c r="J51" s="102"/>
      <c r="K51" s="102"/>
      <c r="L51" s="102"/>
      <c r="M51" s="102"/>
      <c r="N51" s="102"/>
      <c r="O51" s="102"/>
      <c r="Q51" s="100">
        <f t="shared" si="3"/>
        <v>0</v>
      </c>
      <c r="R51" s="100">
        <f t="shared" si="4"/>
        <v>0</v>
      </c>
      <c r="S51" s="100">
        <f t="shared" si="5"/>
        <v>0</v>
      </c>
    </row>
    <row r="52" spans="1:19" x14ac:dyDescent="0.2">
      <c r="A52" s="99">
        <v>37</v>
      </c>
      <c r="B52" s="102"/>
      <c r="C52" s="553"/>
      <c r="D52" s="554"/>
      <c r="E52" s="102"/>
      <c r="F52" s="102"/>
      <c r="G52" s="103"/>
      <c r="H52" s="102"/>
      <c r="I52" s="102"/>
      <c r="J52" s="102"/>
      <c r="K52" s="102"/>
      <c r="L52" s="102"/>
      <c r="M52" s="102"/>
      <c r="N52" s="102"/>
      <c r="O52" s="102"/>
      <c r="Q52" s="100">
        <f t="shared" si="3"/>
        <v>0</v>
      </c>
      <c r="R52" s="100">
        <f t="shared" si="4"/>
        <v>0</v>
      </c>
      <c r="S52" s="100">
        <f t="shared" si="5"/>
        <v>0</v>
      </c>
    </row>
    <row r="53" spans="1:19" x14ac:dyDescent="0.2">
      <c r="A53" s="99">
        <v>38</v>
      </c>
      <c r="B53" s="102"/>
      <c r="C53" s="553"/>
      <c r="D53" s="554"/>
      <c r="E53" s="102"/>
      <c r="F53" s="102"/>
      <c r="G53" s="103"/>
      <c r="H53" s="102"/>
      <c r="I53" s="102"/>
      <c r="J53" s="102"/>
      <c r="K53" s="102"/>
      <c r="L53" s="102"/>
      <c r="M53" s="102"/>
      <c r="N53" s="102"/>
      <c r="O53" s="102"/>
      <c r="Q53" s="100">
        <f t="shared" si="3"/>
        <v>0</v>
      </c>
      <c r="R53" s="100">
        <f t="shared" si="4"/>
        <v>0</v>
      </c>
      <c r="S53" s="100">
        <f t="shared" si="5"/>
        <v>0</v>
      </c>
    </row>
    <row r="54" spans="1:19" x14ac:dyDescent="0.2">
      <c r="A54" s="99">
        <v>39</v>
      </c>
      <c r="B54" s="102"/>
      <c r="C54" s="553"/>
      <c r="D54" s="554"/>
      <c r="E54" s="102"/>
      <c r="F54" s="102"/>
      <c r="G54" s="103"/>
      <c r="H54" s="102"/>
      <c r="I54" s="102"/>
      <c r="J54" s="102"/>
      <c r="K54" s="102"/>
      <c r="L54" s="102"/>
      <c r="M54" s="102"/>
      <c r="N54" s="102"/>
      <c r="O54" s="102"/>
      <c r="Q54" s="100">
        <f t="shared" si="3"/>
        <v>0</v>
      </c>
      <c r="R54" s="100">
        <f t="shared" si="4"/>
        <v>0</v>
      </c>
      <c r="S54" s="100">
        <f t="shared" si="5"/>
        <v>0</v>
      </c>
    </row>
    <row r="55" spans="1:19" x14ac:dyDescent="0.2">
      <c r="A55" s="99">
        <v>40</v>
      </c>
      <c r="B55" s="102"/>
      <c r="C55" s="553"/>
      <c r="D55" s="554"/>
      <c r="E55" s="102"/>
      <c r="F55" s="102"/>
      <c r="G55" s="103"/>
      <c r="H55" s="102"/>
      <c r="I55" s="102"/>
      <c r="J55" s="102"/>
      <c r="K55" s="102"/>
      <c r="L55" s="102"/>
      <c r="M55" s="102"/>
      <c r="N55" s="102"/>
      <c r="O55" s="102"/>
      <c r="Q55" s="100">
        <f t="shared" si="3"/>
        <v>0</v>
      </c>
      <c r="R55" s="100">
        <f t="shared" si="4"/>
        <v>0</v>
      </c>
      <c r="S55" s="100">
        <f t="shared" si="5"/>
        <v>0</v>
      </c>
    </row>
    <row r="56" spans="1:19" x14ac:dyDescent="0.2">
      <c r="A56" s="99">
        <v>41</v>
      </c>
      <c r="B56" s="102"/>
      <c r="C56" s="553"/>
      <c r="D56" s="554"/>
      <c r="E56" s="102"/>
      <c r="F56" s="102"/>
      <c r="G56" s="103"/>
      <c r="H56" s="102"/>
      <c r="I56" s="102"/>
      <c r="J56" s="102"/>
      <c r="K56" s="102"/>
      <c r="L56" s="102"/>
      <c r="M56" s="102"/>
      <c r="N56" s="102"/>
      <c r="O56" s="102"/>
      <c r="Q56" s="100">
        <f t="shared" si="3"/>
        <v>0</v>
      </c>
      <c r="R56" s="100">
        <f t="shared" si="4"/>
        <v>0</v>
      </c>
      <c r="S56" s="100">
        <f t="shared" si="5"/>
        <v>0</v>
      </c>
    </row>
    <row r="57" spans="1:19" x14ac:dyDescent="0.2">
      <c r="A57" s="99">
        <v>42</v>
      </c>
      <c r="B57" s="102"/>
      <c r="C57" s="553"/>
      <c r="D57" s="554"/>
      <c r="E57" s="102"/>
      <c r="F57" s="102"/>
      <c r="G57" s="103"/>
      <c r="H57" s="102"/>
      <c r="I57" s="102"/>
      <c r="J57" s="102"/>
      <c r="K57" s="102"/>
      <c r="L57" s="102"/>
      <c r="M57" s="102"/>
      <c r="N57" s="102"/>
      <c r="O57" s="102"/>
      <c r="Q57" s="100">
        <f t="shared" si="3"/>
        <v>0</v>
      </c>
      <c r="R57" s="100">
        <f t="shared" si="4"/>
        <v>0</v>
      </c>
      <c r="S57" s="100">
        <f t="shared" si="5"/>
        <v>0</v>
      </c>
    </row>
    <row r="58" spans="1:19" x14ac:dyDescent="0.2">
      <c r="A58" s="99">
        <v>43</v>
      </c>
      <c r="B58" s="102"/>
      <c r="C58" s="553"/>
      <c r="D58" s="554"/>
      <c r="E58" s="102"/>
      <c r="F58" s="102"/>
      <c r="G58" s="103"/>
      <c r="H58" s="102"/>
      <c r="I58" s="102"/>
      <c r="J58" s="102"/>
      <c r="K58" s="102"/>
      <c r="L58" s="102"/>
      <c r="M58" s="102"/>
      <c r="N58" s="102"/>
      <c r="O58" s="102"/>
      <c r="Q58" s="100">
        <f t="shared" si="3"/>
        <v>0</v>
      </c>
      <c r="R58" s="100">
        <f t="shared" si="4"/>
        <v>0</v>
      </c>
      <c r="S58" s="100">
        <f t="shared" si="5"/>
        <v>0</v>
      </c>
    </row>
    <row r="59" spans="1:19" x14ac:dyDescent="0.2">
      <c r="A59" s="99">
        <v>44</v>
      </c>
      <c r="B59" s="102"/>
      <c r="C59" s="553"/>
      <c r="D59" s="554"/>
      <c r="E59" s="102"/>
      <c r="F59" s="102"/>
      <c r="G59" s="103"/>
      <c r="H59" s="102"/>
      <c r="I59" s="102"/>
      <c r="J59" s="102"/>
      <c r="K59" s="102"/>
      <c r="L59" s="102"/>
      <c r="M59" s="102"/>
      <c r="N59" s="102"/>
      <c r="O59" s="102"/>
      <c r="Q59" s="100">
        <f t="shared" si="3"/>
        <v>0</v>
      </c>
      <c r="R59" s="100">
        <f t="shared" si="4"/>
        <v>0</v>
      </c>
      <c r="S59" s="100">
        <f t="shared" si="5"/>
        <v>0</v>
      </c>
    </row>
    <row r="60" spans="1:19" x14ac:dyDescent="0.2">
      <c r="A60" s="99">
        <v>45</v>
      </c>
      <c r="B60" s="102"/>
      <c r="C60" s="553"/>
      <c r="D60" s="554"/>
      <c r="E60" s="102"/>
      <c r="F60" s="102"/>
      <c r="G60" s="103"/>
      <c r="H60" s="102"/>
      <c r="I60" s="102"/>
      <c r="J60" s="102"/>
      <c r="K60" s="102"/>
      <c r="L60" s="102"/>
      <c r="M60" s="102"/>
      <c r="N60" s="102"/>
      <c r="O60" s="102"/>
      <c r="Q60" s="100">
        <f t="shared" si="3"/>
        <v>0</v>
      </c>
      <c r="R60" s="100">
        <f t="shared" si="4"/>
        <v>0</v>
      </c>
      <c r="S60" s="100">
        <f t="shared" si="5"/>
        <v>0</v>
      </c>
    </row>
    <row r="61" spans="1:19" x14ac:dyDescent="0.2">
      <c r="A61" s="99">
        <v>46</v>
      </c>
      <c r="B61" s="102"/>
      <c r="C61" s="553"/>
      <c r="D61" s="554"/>
      <c r="E61" s="102"/>
      <c r="F61" s="102"/>
      <c r="G61" s="103"/>
      <c r="H61" s="102"/>
      <c r="I61" s="102"/>
      <c r="J61" s="102"/>
      <c r="K61" s="102"/>
      <c r="L61" s="102"/>
      <c r="M61" s="102"/>
      <c r="N61" s="102"/>
      <c r="O61" s="102"/>
      <c r="Q61" s="100">
        <f t="shared" si="3"/>
        <v>0</v>
      </c>
      <c r="R61" s="100">
        <f t="shared" si="4"/>
        <v>0</v>
      </c>
      <c r="S61" s="100">
        <f t="shared" si="5"/>
        <v>0</v>
      </c>
    </row>
    <row r="62" spans="1:19" x14ac:dyDescent="0.2">
      <c r="A62" s="99">
        <v>47</v>
      </c>
      <c r="B62" s="102"/>
      <c r="C62" s="553"/>
      <c r="D62" s="554"/>
      <c r="E62" s="102"/>
      <c r="F62" s="102"/>
      <c r="G62" s="103"/>
      <c r="H62" s="102"/>
      <c r="I62" s="102"/>
      <c r="J62" s="102"/>
      <c r="K62" s="102"/>
      <c r="L62" s="102"/>
      <c r="M62" s="102"/>
      <c r="N62" s="102"/>
      <c r="O62" s="102"/>
      <c r="Q62" s="100">
        <f t="shared" si="3"/>
        <v>0</v>
      </c>
      <c r="R62" s="100">
        <f t="shared" si="4"/>
        <v>0</v>
      </c>
      <c r="S62" s="100">
        <f t="shared" si="5"/>
        <v>0</v>
      </c>
    </row>
    <row r="63" spans="1:19" x14ac:dyDescent="0.2">
      <c r="A63" s="99">
        <v>48</v>
      </c>
      <c r="B63" s="102"/>
      <c r="C63" s="553"/>
      <c r="D63" s="554"/>
      <c r="E63" s="102"/>
      <c r="F63" s="102"/>
      <c r="G63" s="103"/>
      <c r="H63" s="102"/>
      <c r="I63" s="102"/>
      <c r="J63" s="102"/>
      <c r="K63" s="102"/>
      <c r="L63" s="102"/>
      <c r="M63" s="102"/>
      <c r="N63" s="102"/>
      <c r="O63" s="102"/>
      <c r="Q63" s="100">
        <f t="shared" si="3"/>
        <v>0</v>
      </c>
      <c r="R63" s="100">
        <f t="shared" si="4"/>
        <v>0</v>
      </c>
      <c r="S63" s="100">
        <f t="shared" si="5"/>
        <v>0</v>
      </c>
    </row>
    <row r="64" spans="1:19" x14ac:dyDescent="0.2">
      <c r="A64" s="99">
        <v>49</v>
      </c>
      <c r="B64" s="102"/>
      <c r="C64" s="553"/>
      <c r="D64" s="554"/>
      <c r="E64" s="102"/>
      <c r="F64" s="102"/>
      <c r="G64" s="103"/>
      <c r="H64" s="102"/>
      <c r="I64" s="102"/>
      <c r="J64" s="102"/>
      <c r="K64" s="102"/>
      <c r="L64" s="102"/>
      <c r="M64" s="102"/>
      <c r="N64" s="102"/>
      <c r="O64" s="102"/>
      <c r="Q64" s="100">
        <f t="shared" si="3"/>
        <v>0</v>
      </c>
      <c r="R64" s="100">
        <f t="shared" si="4"/>
        <v>0</v>
      </c>
      <c r="S64" s="100">
        <f t="shared" si="5"/>
        <v>0</v>
      </c>
    </row>
    <row r="65" spans="1:19" x14ac:dyDescent="0.2">
      <c r="A65" s="99">
        <v>50</v>
      </c>
      <c r="B65" s="102"/>
      <c r="C65" s="553"/>
      <c r="D65" s="554"/>
      <c r="E65" s="102"/>
      <c r="F65" s="102"/>
      <c r="G65" s="103"/>
      <c r="H65" s="102"/>
      <c r="I65" s="102"/>
      <c r="J65" s="102"/>
      <c r="K65" s="102"/>
      <c r="L65" s="102"/>
      <c r="M65" s="102"/>
      <c r="N65" s="102"/>
      <c r="O65" s="102"/>
      <c r="Q65" s="100">
        <f t="shared" si="3"/>
        <v>0</v>
      </c>
      <c r="R65" s="100">
        <f t="shared" si="4"/>
        <v>0</v>
      </c>
      <c r="S65" s="100">
        <f t="shared" si="5"/>
        <v>0</v>
      </c>
    </row>
    <row r="66" spans="1:19" x14ac:dyDescent="0.2">
      <c r="A66" s="99">
        <v>51</v>
      </c>
      <c r="B66" s="102"/>
      <c r="C66" s="553"/>
      <c r="D66" s="554"/>
      <c r="E66" s="102"/>
      <c r="F66" s="102"/>
      <c r="G66" s="103"/>
      <c r="H66" s="102"/>
      <c r="I66" s="102"/>
      <c r="J66" s="102"/>
      <c r="K66" s="102"/>
      <c r="L66" s="102"/>
      <c r="M66" s="102"/>
      <c r="N66" s="102"/>
      <c r="O66" s="102"/>
      <c r="Q66" s="100">
        <f t="shared" si="3"/>
        <v>0</v>
      </c>
      <c r="R66" s="100">
        <f t="shared" si="4"/>
        <v>0</v>
      </c>
      <c r="S66" s="100">
        <f t="shared" si="5"/>
        <v>0</v>
      </c>
    </row>
    <row r="67" spans="1:19" x14ac:dyDescent="0.2">
      <c r="A67" s="99">
        <v>52</v>
      </c>
      <c r="B67" s="102"/>
      <c r="C67" s="553"/>
      <c r="D67" s="554"/>
      <c r="E67" s="102"/>
      <c r="F67" s="102"/>
      <c r="G67" s="103"/>
      <c r="H67" s="102"/>
      <c r="I67" s="102"/>
      <c r="J67" s="102"/>
      <c r="K67" s="102"/>
      <c r="L67" s="102"/>
      <c r="M67" s="102"/>
      <c r="N67" s="102"/>
      <c r="O67" s="102"/>
      <c r="Q67" s="100">
        <f t="shared" si="3"/>
        <v>0</v>
      </c>
      <c r="R67" s="100">
        <f t="shared" si="4"/>
        <v>0</v>
      </c>
      <c r="S67" s="100">
        <f t="shared" si="5"/>
        <v>0</v>
      </c>
    </row>
    <row r="68" spans="1:19" x14ac:dyDescent="0.2">
      <c r="A68" s="99">
        <v>53</v>
      </c>
      <c r="B68" s="102"/>
      <c r="C68" s="553"/>
      <c r="D68" s="554"/>
      <c r="E68" s="102"/>
      <c r="F68" s="102"/>
      <c r="G68" s="103"/>
      <c r="H68" s="102"/>
      <c r="I68" s="102"/>
      <c r="J68" s="102"/>
      <c r="K68" s="102"/>
      <c r="L68" s="102"/>
      <c r="M68" s="102"/>
      <c r="N68" s="102"/>
      <c r="O68" s="102"/>
      <c r="Q68" s="100">
        <f t="shared" si="3"/>
        <v>0</v>
      </c>
      <c r="R68" s="100">
        <f t="shared" si="4"/>
        <v>0</v>
      </c>
      <c r="S68" s="100">
        <f t="shared" si="5"/>
        <v>0</v>
      </c>
    </row>
    <row r="69" spans="1:19" x14ac:dyDescent="0.2">
      <c r="A69" s="99">
        <v>54</v>
      </c>
      <c r="B69" s="102"/>
      <c r="C69" s="553"/>
      <c r="D69" s="554"/>
      <c r="E69" s="102"/>
      <c r="F69" s="102"/>
      <c r="G69" s="103"/>
      <c r="H69" s="102"/>
      <c r="I69" s="102"/>
      <c r="J69" s="102"/>
      <c r="K69" s="102"/>
      <c r="L69" s="102"/>
      <c r="M69" s="102"/>
      <c r="N69" s="102"/>
      <c r="O69" s="102"/>
      <c r="Q69" s="100">
        <f t="shared" si="3"/>
        <v>0</v>
      </c>
      <c r="R69" s="100">
        <f t="shared" si="4"/>
        <v>0</v>
      </c>
      <c r="S69" s="100">
        <f t="shared" si="5"/>
        <v>0</v>
      </c>
    </row>
    <row r="70" spans="1:19" x14ac:dyDescent="0.2">
      <c r="A70" s="99">
        <v>55</v>
      </c>
      <c r="B70" s="102"/>
      <c r="C70" s="553"/>
      <c r="D70" s="554"/>
      <c r="E70" s="102"/>
      <c r="F70" s="102"/>
      <c r="G70" s="103"/>
      <c r="H70" s="102"/>
      <c r="I70" s="102"/>
      <c r="J70" s="102"/>
      <c r="K70" s="102"/>
      <c r="L70" s="102"/>
      <c r="M70" s="102"/>
      <c r="N70" s="102"/>
      <c r="O70" s="102"/>
      <c r="Q70" s="100">
        <f t="shared" si="3"/>
        <v>0</v>
      </c>
      <c r="R70" s="100">
        <f t="shared" si="4"/>
        <v>0</v>
      </c>
      <c r="S70" s="100">
        <f t="shared" si="5"/>
        <v>0</v>
      </c>
    </row>
    <row r="71" spans="1:19" x14ac:dyDescent="0.2">
      <c r="A71" s="99">
        <v>56</v>
      </c>
      <c r="B71" s="102"/>
      <c r="C71" s="553"/>
      <c r="D71" s="554"/>
      <c r="E71" s="102"/>
      <c r="F71" s="102"/>
      <c r="G71" s="103"/>
      <c r="H71" s="102"/>
      <c r="I71" s="102"/>
      <c r="J71" s="102"/>
      <c r="K71" s="102"/>
      <c r="L71" s="102"/>
      <c r="M71" s="102"/>
      <c r="N71" s="102"/>
      <c r="O71" s="102"/>
      <c r="Q71" s="100">
        <f t="shared" si="3"/>
        <v>0</v>
      </c>
      <c r="R71" s="100">
        <f t="shared" si="4"/>
        <v>0</v>
      </c>
      <c r="S71" s="100">
        <f t="shared" si="5"/>
        <v>0</v>
      </c>
    </row>
    <row r="72" spans="1:19" x14ac:dyDescent="0.2">
      <c r="A72" s="99">
        <v>57</v>
      </c>
      <c r="B72" s="102"/>
      <c r="C72" s="553"/>
      <c r="D72" s="554"/>
      <c r="E72" s="102"/>
      <c r="F72" s="102"/>
      <c r="G72" s="103"/>
      <c r="H72" s="102"/>
      <c r="I72" s="102"/>
      <c r="J72" s="102"/>
      <c r="K72" s="102"/>
      <c r="L72" s="102"/>
      <c r="M72" s="102"/>
      <c r="N72" s="102"/>
      <c r="O72" s="102"/>
      <c r="Q72" s="100">
        <f t="shared" si="3"/>
        <v>0</v>
      </c>
      <c r="R72" s="100">
        <f t="shared" si="4"/>
        <v>0</v>
      </c>
      <c r="S72" s="100">
        <f t="shared" si="5"/>
        <v>0</v>
      </c>
    </row>
    <row r="73" spans="1:19" x14ac:dyDescent="0.2">
      <c r="A73" s="99">
        <v>58</v>
      </c>
      <c r="B73" s="102"/>
      <c r="C73" s="553"/>
      <c r="D73" s="554"/>
      <c r="E73" s="102"/>
      <c r="F73" s="102"/>
      <c r="G73" s="103"/>
      <c r="H73" s="102"/>
      <c r="I73" s="102"/>
      <c r="J73" s="102"/>
      <c r="K73" s="102"/>
      <c r="L73" s="102"/>
      <c r="M73" s="102"/>
      <c r="N73" s="102"/>
      <c r="O73" s="102"/>
      <c r="Q73" s="100">
        <f t="shared" si="3"/>
        <v>0</v>
      </c>
      <c r="R73" s="100">
        <f t="shared" si="4"/>
        <v>0</v>
      </c>
      <c r="S73" s="100">
        <f t="shared" si="5"/>
        <v>0</v>
      </c>
    </row>
    <row r="74" spans="1:19" x14ac:dyDescent="0.2">
      <c r="A74" s="99">
        <v>59</v>
      </c>
      <c r="B74" s="102"/>
      <c r="C74" s="553"/>
      <c r="D74" s="554"/>
      <c r="E74" s="102"/>
      <c r="F74" s="102"/>
      <c r="G74" s="103"/>
      <c r="H74" s="102"/>
      <c r="I74" s="102"/>
      <c r="J74" s="102"/>
      <c r="K74" s="102"/>
      <c r="L74" s="102"/>
      <c r="M74" s="102"/>
      <c r="N74" s="102"/>
      <c r="O74" s="102"/>
      <c r="Q74" s="100">
        <f t="shared" si="3"/>
        <v>0</v>
      </c>
      <c r="R74" s="100">
        <f t="shared" si="4"/>
        <v>0</v>
      </c>
      <c r="S74" s="100">
        <f t="shared" si="5"/>
        <v>0</v>
      </c>
    </row>
    <row r="75" spans="1:19" x14ac:dyDescent="0.2">
      <c r="A75" s="99">
        <v>60</v>
      </c>
      <c r="B75" s="102"/>
      <c r="C75" s="553"/>
      <c r="D75" s="554"/>
      <c r="E75" s="102"/>
      <c r="F75" s="102"/>
      <c r="G75" s="103"/>
      <c r="H75" s="102"/>
      <c r="I75" s="102"/>
      <c r="J75" s="102"/>
      <c r="K75" s="102"/>
      <c r="L75" s="102"/>
      <c r="M75" s="102"/>
      <c r="N75" s="102"/>
      <c r="O75" s="102"/>
      <c r="Q75" s="100">
        <f t="shared" si="3"/>
        <v>0</v>
      </c>
      <c r="R75" s="100">
        <f t="shared" si="4"/>
        <v>0</v>
      </c>
      <c r="S75" s="100">
        <f t="shared" si="5"/>
        <v>0</v>
      </c>
    </row>
    <row r="76" spans="1:19" x14ac:dyDescent="0.2">
      <c r="A76" s="99">
        <v>61</v>
      </c>
      <c r="B76" s="102"/>
      <c r="C76" s="553"/>
      <c r="D76" s="554"/>
      <c r="E76" s="102"/>
      <c r="F76" s="102"/>
      <c r="G76" s="103"/>
      <c r="H76" s="102"/>
      <c r="I76" s="102"/>
      <c r="J76" s="102"/>
      <c r="K76" s="102"/>
      <c r="L76" s="102"/>
      <c r="M76" s="102"/>
      <c r="N76" s="102"/>
      <c r="O76" s="102"/>
      <c r="Q76" s="100">
        <f t="shared" si="3"/>
        <v>0</v>
      </c>
      <c r="R76" s="100">
        <f t="shared" si="4"/>
        <v>0</v>
      </c>
      <c r="S76" s="100">
        <f t="shared" si="5"/>
        <v>0</v>
      </c>
    </row>
    <row r="77" spans="1:19" x14ac:dyDescent="0.2">
      <c r="A77" s="99">
        <v>62</v>
      </c>
      <c r="B77" s="102"/>
      <c r="C77" s="553"/>
      <c r="D77" s="554"/>
      <c r="E77" s="102"/>
      <c r="F77" s="102"/>
      <c r="G77" s="103"/>
      <c r="H77" s="102"/>
      <c r="I77" s="102"/>
      <c r="J77" s="102"/>
      <c r="K77" s="102"/>
      <c r="L77" s="102"/>
      <c r="M77" s="102"/>
      <c r="N77" s="102"/>
      <c r="O77" s="102"/>
      <c r="Q77" s="100">
        <f t="shared" si="3"/>
        <v>0</v>
      </c>
      <c r="R77" s="100">
        <f t="shared" si="4"/>
        <v>0</v>
      </c>
      <c r="S77" s="100">
        <f t="shared" si="5"/>
        <v>0</v>
      </c>
    </row>
    <row r="78" spans="1:19" x14ac:dyDescent="0.2">
      <c r="A78" s="99">
        <v>63</v>
      </c>
      <c r="B78" s="102"/>
      <c r="C78" s="553"/>
      <c r="D78" s="554"/>
      <c r="E78" s="102"/>
      <c r="F78" s="102"/>
      <c r="G78" s="103"/>
      <c r="H78" s="102"/>
      <c r="I78" s="102"/>
      <c r="J78" s="102"/>
      <c r="K78" s="102"/>
      <c r="L78" s="102"/>
      <c r="M78" s="102"/>
      <c r="N78" s="102"/>
      <c r="O78" s="102"/>
      <c r="Q78" s="100">
        <f t="shared" si="3"/>
        <v>0</v>
      </c>
      <c r="R78" s="100">
        <f t="shared" si="4"/>
        <v>0</v>
      </c>
      <c r="S78" s="100">
        <f t="shared" si="5"/>
        <v>0</v>
      </c>
    </row>
    <row r="79" spans="1:19" x14ac:dyDescent="0.2">
      <c r="A79" s="99">
        <v>64</v>
      </c>
      <c r="B79" s="102"/>
      <c r="C79" s="553"/>
      <c r="D79" s="554"/>
      <c r="E79" s="102"/>
      <c r="F79" s="102"/>
      <c r="G79" s="103"/>
      <c r="H79" s="102"/>
      <c r="I79" s="102"/>
      <c r="J79" s="102"/>
      <c r="K79" s="102"/>
      <c r="L79" s="102"/>
      <c r="M79" s="102"/>
      <c r="N79" s="102"/>
      <c r="O79" s="102"/>
      <c r="Q79" s="100">
        <f t="shared" si="3"/>
        <v>0</v>
      </c>
      <c r="R79" s="100">
        <f t="shared" si="4"/>
        <v>0</v>
      </c>
      <c r="S79" s="100">
        <f t="shared" si="5"/>
        <v>0</v>
      </c>
    </row>
    <row r="80" spans="1:19" x14ac:dyDescent="0.2">
      <c r="A80" s="99">
        <v>65</v>
      </c>
      <c r="B80" s="102"/>
      <c r="C80" s="553"/>
      <c r="D80" s="554"/>
      <c r="E80" s="102"/>
      <c r="F80" s="102"/>
      <c r="G80" s="103"/>
      <c r="H80" s="102"/>
      <c r="I80" s="102"/>
      <c r="J80" s="102"/>
      <c r="K80" s="102"/>
      <c r="L80" s="102"/>
      <c r="M80" s="102"/>
      <c r="N80" s="102"/>
      <c r="O80" s="102"/>
      <c r="Q80" s="100">
        <f t="shared" ref="Q80:Q115" si="6">((C80*G80*J80)/$D$3)+M80</f>
        <v>0</v>
      </c>
      <c r="R80" s="100">
        <f t="shared" ref="R80:R115" si="7">((E80*H80*K80)/$D$3)+N80</f>
        <v>0</v>
      </c>
      <c r="S80" s="100">
        <f t="shared" ref="S80:S115" si="8">((F80*I80*L80)/$D$3)+O80</f>
        <v>0</v>
      </c>
    </row>
    <row r="81" spans="1:19" x14ac:dyDescent="0.2">
      <c r="A81" s="99">
        <v>66</v>
      </c>
      <c r="B81" s="102"/>
      <c r="C81" s="553"/>
      <c r="D81" s="554"/>
      <c r="E81" s="102"/>
      <c r="F81" s="102"/>
      <c r="G81" s="103"/>
      <c r="H81" s="102"/>
      <c r="I81" s="102"/>
      <c r="J81" s="102"/>
      <c r="K81" s="102"/>
      <c r="L81" s="102"/>
      <c r="M81" s="102"/>
      <c r="N81" s="102"/>
      <c r="O81" s="102"/>
      <c r="Q81" s="100">
        <f t="shared" si="6"/>
        <v>0</v>
      </c>
      <c r="R81" s="100">
        <f t="shared" si="7"/>
        <v>0</v>
      </c>
      <c r="S81" s="100">
        <f t="shared" si="8"/>
        <v>0</v>
      </c>
    </row>
    <row r="82" spans="1:19" x14ac:dyDescent="0.2">
      <c r="A82" s="99">
        <v>67</v>
      </c>
      <c r="B82" s="102"/>
      <c r="C82" s="553"/>
      <c r="D82" s="554"/>
      <c r="E82" s="102"/>
      <c r="F82" s="102"/>
      <c r="G82" s="103"/>
      <c r="H82" s="102"/>
      <c r="I82" s="102"/>
      <c r="J82" s="102"/>
      <c r="K82" s="102"/>
      <c r="L82" s="102"/>
      <c r="M82" s="102"/>
      <c r="N82" s="102"/>
      <c r="O82" s="102"/>
      <c r="Q82" s="100">
        <f t="shared" si="6"/>
        <v>0</v>
      </c>
      <c r="R82" s="100">
        <f t="shared" si="7"/>
        <v>0</v>
      </c>
      <c r="S82" s="100">
        <f t="shared" si="8"/>
        <v>0</v>
      </c>
    </row>
    <row r="83" spans="1:19" x14ac:dyDescent="0.2">
      <c r="A83" s="99">
        <v>68</v>
      </c>
      <c r="B83" s="102"/>
      <c r="C83" s="553"/>
      <c r="D83" s="554"/>
      <c r="E83" s="102"/>
      <c r="F83" s="102"/>
      <c r="G83" s="103"/>
      <c r="H83" s="102"/>
      <c r="I83" s="102"/>
      <c r="J83" s="102"/>
      <c r="K83" s="102"/>
      <c r="L83" s="102"/>
      <c r="M83" s="102"/>
      <c r="N83" s="102"/>
      <c r="O83" s="102"/>
      <c r="Q83" s="100">
        <f t="shared" si="6"/>
        <v>0</v>
      </c>
      <c r="R83" s="100">
        <f t="shared" si="7"/>
        <v>0</v>
      </c>
      <c r="S83" s="100">
        <f t="shared" si="8"/>
        <v>0</v>
      </c>
    </row>
    <row r="84" spans="1:19" x14ac:dyDescent="0.2">
      <c r="A84" s="99">
        <v>69</v>
      </c>
      <c r="B84" s="102"/>
      <c r="C84" s="553"/>
      <c r="D84" s="554"/>
      <c r="E84" s="102"/>
      <c r="F84" s="102"/>
      <c r="G84" s="103"/>
      <c r="H84" s="102"/>
      <c r="I84" s="102"/>
      <c r="J84" s="102"/>
      <c r="K84" s="102"/>
      <c r="L84" s="102"/>
      <c r="M84" s="102"/>
      <c r="N84" s="102"/>
      <c r="O84" s="102"/>
      <c r="Q84" s="100">
        <f t="shared" si="6"/>
        <v>0</v>
      </c>
      <c r="R84" s="100">
        <f t="shared" si="7"/>
        <v>0</v>
      </c>
      <c r="S84" s="100">
        <f t="shared" si="8"/>
        <v>0</v>
      </c>
    </row>
    <row r="85" spans="1:19" x14ac:dyDescent="0.2">
      <c r="A85" s="99">
        <v>70</v>
      </c>
      <c r="B85" s="102"/>
      <c r="C85" s="553"/>
      <c r="D85" s="554"/>
      <c r="E85" s="102"/>
      <c r="F85" s="102"/>
      <c r="G85" s="103"/>
      <c r="H85" s="102"/>
      <c r="I85" s="102"/>
      <c r="J85" s="102"/>
      <c r="K85" s="102"/>
      <c r="L85" s="102"/>
      <c r="M85" s="102"/>
      <c r="N85" s="102"/>
      <c r="O85" s="102"/>
      <c r="Q85" s="100">
        <f t="shared" si="6"/>
        <v>0</v>
      </c>
      <c r="R85" s="100">
        <f t="shared" si="7"/>
        <v>0</v>
      </c>
      <c r="S85" s="100">
        <f t="shared" si="8"/>
        <v>0</v>
      </c>
    </row>
    <row r="86" spans="1:19" x14ac:dyDescent="0.2">
      <c r="A86" s="99">
        <v>71</v>
      </c>
      <c r="B86" s="102"/>
      <c r="C86" s="553"/>
      <c r="D86" s="554"/>
      <c r="E86" s="102"/>
      <c r="F86" s="102"/>
      <c r="G86" s="103"/>
      <c r="H86" s="102"/>
      <c r="I86" s="102"/>
      <c r="J86" s="102"/>
      <c r="K86" s="102"/>
      <c r="L86" s="102"/>
      <c r="M86" s="102"/>
      <c r="N86" s="102"/>
      <c r="O86" s="102"/>
      <c r="Q86" s="100">
        <f t="shared" si="6"/>
        <v>0</v>
      </c>
      <c r="R86" s="100">
        <f t="shared" si="7"/>
        <v>0</v>
      </c>
      <c r="S86" s="100">
        <f t="shared" si="8"/>
        <v>0</v>
      </c>
    </row>
    <row r="87" spans="1:19" x14ac:dyDescent="0.2">
      <c r="A87" s="99">
        <v>72</v>
      </c>
      <c r="B87" s="102"/>
      <c r="C87" s="553"/>
      <c r="D87" s="554"/>
      <c r="E87" s="102"/>
      <c r="F87" s="102"/>
      <c r="G87" s="103"/>
      <c r="H87" s="102"/>
      <c r="I87" s="102"/>
      <c r="J87" s="102"/>
      <c r="K87" s="102"/>
      <c r="L87" s="102"/>
      <c r="M87" s="102"/>
      <c r="N87" s="102"/>
      <c r="O87" s="102"/>
      <c r="Q87" s="100">
        <f t="shared" si="6"/>
        <v>0</v>
      </c>
      <c r="R87" s="100">
        <f t="shared" si="7"/>
        <v>0</v>
      </c>
      <c r="S87" s="100">
        <f t="shared" si="8"/>
        <v>0</v>
      </c>
    </row>
    <row r="88" spans="1:19" x14ac:dyDescent="0.2">
      <c r="A88" s="99">
        <v>73</v>
      </c>
      <c r="B88" s="102"/>
      <c r="C88" s="553"/>
      <c r="D88" s="554"/>
      <c r="E88" s="102"/>
      <c r="F88" s="102"/>
      <c r="G88" s="103"/>
      <c r="H88" s="102"/>
      <c r="I88" s="102"/>
      <c r="J88" s="102"/>
      <c r="K88" s="102"/>
      <c r="L88" s="102"/>
      <c r="M88" s="102"/>
      <c r="N88" s="102"/>
      <c r="O88" s="102"/>
      <c r="Q88" s="100">
        <f t="shared" si="6"/>
        <v>0</v>
      </c>
      <c r="R88" s="100">
        <f t="shared" si="7"/>
        <v>0</v>
      </c>
      <c r="S88" s="100">
        <f t="shared" si="8"/>
        <v>0</v>
      </c>
    </row>
    <row r="89" spans="1:19" x14ac:dyDescent="0.2">
      <c r="A89" s="99">
        <v>74</v>
      </c>
      <c r="B89" s="102"/>
      <c r="C89" s="553"/>
      <c r="D89" s="554"/>
      <c r="E89" s="102"/>
      <c r="F89" s="102"/>
      <c r="G89" s="103"/>
      <c r="H89" s="102"/>
      <c r="I89" s="102"/>
      <c r="J89" s="102"/>
      <c r="K89" s="102"/>
      <c r="L89" s="102"/>
      <c r="M89" s="102"/>
      <c r="N89" s="102"/>
      <c r="O89" s="102"/>
      <c r="Q89" s="100">
        <f t="shared" si="6"/>
        <v>0</v>
      </c>
      <c r="R89" s="100">
        <f t="shared" si="7"/>
        <v>0</v>
      </c>
      <c r="S89" s="100">
        <f t="shared" si="8"/>
        <v>0</v>
      </c>
    </row>
    <row r="90" spans="1:19" x14ac:dyDescent="0.2">
      <c r="A90" s="99">
        <v>75</v>
      </c>
      <c r="B90" s="102"/>
      <c r="C90" s="553"/>
      <c r="D90" s="554"/>
      <c r="E90" s="102"/>
      <c r="F90" s="102"/>
      <c r="G90" s="103"/>
      <c r="H90" s="102"/>
      <c r="I90" s="102"/>
      <c r="J90" s="102"/>
      <c r="K90" s="102"/>
      <c r="L90" s="102"/>
      <c r="M90" s="102"/>
      <c r="N90" s="102"/>
      <c r="O90" s="102"/>
      <c r="Q90" s="100">
        <f t="shared" si="6"/>
        <v>0</v>
      </c>
      <c r="R90" s="100">
        <f t="shared" si="7"/>
        <v>0</v>
      </c>
      <c r="S90" s="100">
        <f t="shared" si="8"/>
        <v>0</v>
      </c>
    </row>
    <row r="91" spans="1:19" x14ac:dyDescent="0.2">
      <c r="A91" s="99">
        <v>76</v>
      </c>
      <c r="B91" s="102"/>
      <c r="C91" s="553"/>
      <c r="D91" s="554"/>
      <c r="E91" s="102"/>
      <c r="F91" s="102"/>
      <c r="G91" s="103"/>
      <c r="H91" s="102"/>
      <c r="I91" s="102"/>
      <c r="J91" s="102"/>
      <c r="K91" s="102"/>
      <c r="L91" s="102"/>
      <c r="M91" s="102"/>
      <c r="N91" s="102"/>
      <c r="O91" s="102"/>
      <c r="Q91" s="100">
        <f t="shared" si="6"/>
        <v>0</v>
      </c>
      <c r="R91" s="100">
        <f t="shared" si="7"/>
        <v>0</v>
      </c>
      <c r="S91" s="100">
        <f t="shared" si="8"/>
        <v>0</v>
      </c>
    </row>
    <row r="92" spans="1:19" x14ac:dyDescent="0.2">
      <c r="A92" s="99">
        <v>77</v>
      </c>
      <c r="B92" s="102"/>
      <c r="C92" s="553"/>
      <c r="D92" s="554"/>
      <c r="E92" s="102"/>
      <c r="F92" s="102"/>
      <c r="G92" s="103"/>
      <c r="H92" s="102"/>
      <c r="I92" s="102"/>
      <c r="J92" s="102"/>
      <c r="K92" s="102"/>
      <c r="L92" s="102"/>
      <c r="M92" s="102"/>
      <c r="N92" s="102"/>
      <c r="O92" s="102"/>
      <c r="Q92" s="100">
        <f t="shared" si="6"/>
        <v>0</v>
      </c>
      <c r="R92" s="100">
        <f t="shared" si="7"/>
        <v>0</v>
      </c>
      <c r="S92" s="100">
        <f t="shared" si="8"/>
        <v>0</v>
      </c>
    </row>
    <row r="93" spans="1:19" x14ac:dyDescent="0.2">
      <c r="A93" s="99">
        <v>78</v>
      </c>
      <c r="B93" s="102"/>
      <c r="C93" s="553"/>
      <c r="D93" s="554"/>
      <c r="E93" s="102"/>
      <c r="F93" s="102"/>
      <c r="G93" s="103"/>
      <c r="H93" s="102"/>
      <c r="I93" s="102"/>
      <c r="J93" s="102"/>
      <c r="K93" s="102"/>
      <c r="L93" s="102"/>
      <c r="M93" s="102"/>
      <c r="N93" s="102"/>
      <c r="O93" s="102"/>
      <c r="Q93" s="100">
        <f t="shared" si="6"/>
        <v>0</v>
      </c>
      <c r="R93" s="100">
        <f t="shared" si="7"/>
        <v>0</v>
      </c>
      <c r="S93" s="100">
        <f t="shared" si="8"/>
        <v>0</v>
      </c>
    </row>
    <row r="94" spans="1:19" x14ac:dyDescent="0.2">
      <c r="A94" s="99">
        <v>79</v>
      </c>
      <c r="B94" s="102"/>
      <c r="C94" s="553"/>
      <c r="D94" s="554"/>
      <c r="E94" s="102"/>
      <c r="F94" s="102"/>
      <c r="G94" s="103"/>
      <c r="H94" s="102"/>
      <c r="I94" s="102"/>
      <c r="J94" s="102"/>
      <c r="K94" s="102"/>
      <c r="L94" s="102"/>
      <c r="M94" s="102"/>
      <c r="N94" s="102"/>
      <c r="O94" s="102"/>
      <c r="Q94" s="100">
        <f t="shared" si="6"/>
        <v>0</v>
      </c>
      <c r="R94" s="100">
        <f t="shared" si="7"/>
        <v>0</v>
      </c>
      <c r="S94" s="100">
        <f t="shared" si="8"/>
        <v>0</v>
      </c>
    </row>
    <row r="95" spans="1:19" x14ac:dyDescent="0.2">
      <c r="A95" s="99">
        <v>80</v>
      </c>
      <c r="B95" s="102"/>
      <c r="C95" s="553"/>
      <c r="D95" s="554"/>
      <c r="E95" s="102"/>
      <c r="F95" s="102"/>
      <c r="G95" s="103"/>
      <c r="H95" s="102"/>
      <c r="I95" s="102"/>
      <c r="J95" s="102"/>
      <c r="K95" s="102"/>
      <c r="L95" s="102"/>
      <c r="M95" s="102"/>
      <c r="N95" s="102"/>
      <c r="O95" s="102"/>
      <c r="Q95" s="100">
        <f t="shared" si="6"/>
        <v>0</v>
      </c>
      <c r="R95" s="100">
        <f t="shared" si="7"/>
        <v>0</v>
      </c>
      <c r="S95" s="100">
        <f t="shared" si="8"/>
        <v>0</v>
      </c>
    </row>
    <row r="96" spans="1:19" x14ac:dyDescent="0.2">
      <c r="A96" s="99">
        <v>81</v>
      </c>
      <c r="B96" s="102"/>
      <c r="C96" s="553"/>
      <c r="D96" s="554"/>
      <c r="E96" s="102"/>
      <c r="F96" s="102"/>
      <c r="G96" s="103"/>
      <c r="H96" s="102"/>
      <c r="I96" s="102"/>
      <c r="J96" s="102"/>
      <c r="K96" s="102"/>
      <c r="L96" s="102"/>
      <c r="M96" s="102"/>
      <c r="N96" s="102"/>
      <c r="O96" s="102"/>
      <c r="Q96" s="100">
        <f t="shared" si="6"/>
        <v>0</v>
      </c>
      <c r="R96" s="100">
        <f t="shared" si="7"/>
        <v>0</v>
      </c>
      <c r="S96" s="100">
        <f t="shared" si="8"/>
        <v>0</v>
      </c>
    </row>
    <row r="97" spans="1:19" x14ac:dyDescent="0.2">
      <c r="A97" s="99">
        <v>82</v>
      </c>
      <c r="B97" s="102"/>
      <c r="C97" s="553"/>
      <c r="D97" s="554"/>
      <c r="E97" s="102"/>
      <c r="F97" s="102"/>
      <c r="G97" s="103"/>
      <c r="H97" s="102"/>
      <c r="I97" s="102"/>
      <c r="J97" s="102"/>
      <c r="K97" s="102"/>
      <c r="L97" s="102"/>
      <c r="M97" s="102"/>
      <c r="N97" s="102"/>
      <c r="O97" s="102"/>
      <c r="Q97" s="100">
        <f t="shared" si="6"/>
        <v>0</v>
      </c>
      <c r="R97" s="100">
        <f t="shared" si="7"/>
        <v>0</v>
      </c>
      <c r="S97" s="100">
        <f t="shared" si="8"/>
        <v>0</v>
      </c>
    </row>
    <row r="98" spans="1:19" x14ac:dyDescent="0.2">
      <c r="A98" s="99">
        <v>83</v>
      </c>
      <c r="B98" s="102"/>
      <c r="C98" s="553"/>
      <c r="D98" s="554"/>
      <c r="E98" s="102"/>
      <c r="F98" s="102"/>
      <c r="G98" s="103"/>
      <c r="H98" s="102"/>
      <c r="I98" s="102"/>
      <c r="J98" s="102"/>
      <c r="K98" s="102"/>
      <c r="L98" s="102"/>
      <c r="M98" s="102"/>
      <c r="N98" s="102"/>
      <c r="O98" s="102"/>
      <c r="Q98" s="100">
        <f t="shared" si="6"/>
        <v>0</v>
      </c>
      <c r="R98" s="100">
        <f t="shared" si="7"/>
        <v>0</v>
      </c>
      <c r="S98" s="100">
        <f t="shared" si="8"/>
        <v>0</v>
      </c>
    </row>
    <row r="99" spans="1:19" x14ac:dyDescent="0.2">
      <c r="A99" s="99">
        <v>84</v>
      </c>
      <c r="B99" s="102"/>
      <c r="C99" s="553"/>
      <c r="D99" s="554"/>
      <c r="E99" s="102"/>
      <c r="F99" s="102"/>
      <c r="G99" s="103"/>
      <c r="H99" s="102"/>
      <c r="I99" s="102"/>
      <c r="J99" s="102"/>
      <c r="K99" s="102"/>
      <c r="L99" s="102"/>
      <c r="M99" s="102"/>
      <c r="N99" s="102"/>
      <c r="O99" s="102"/>
      <c r="Q99" s="100">
        <f t="shared" si="6"/>
        <v>0</v>
      </c>
      <c r="R99" s="100">
        <f t="shared" si="7"/>
        <v>0</v>
      </c>
      <c r="S99" s="100">
        <f t="shared" si="8"/>
        <v>0</v>
      </c>
    </row>
    <row r="100" spans="1:19" x14ac:dyDescent="0.2">
      <c r="A100" s="99">
        <v>85</v>
      </c>
      <c r="B100" s="102"/>
      <c r="C100" s="553"/>
      <c r="D100" s="554"/>
      <c r="E100" s="102"/>
      <c r="F100" s="102"/>
      <c r="G100" s="103"/>
      <c r="H100" s="102"/>
      <c r="I100" s="102"/>
      <c r="J100" s="102"/>
      <c r="K100" s="102"/>
      <c r="L100" s="102"/>
      <c r="M100" s="102"/>
      <c r="N100" s="102"/>
      <c r="O100" s="102"/>
      <c r="Q100" s="100">
        <f t="shared" si="6"/>
        <v>0</v>
      </c>
      <c r="R100" s="100">
        <f t="shared" si="7"/>
        <v>0</v>
      </c>
      <c r="S100" s="100">
        <f t="shared" si="8"/>
        <v>0</v>
      </c>
    </row>
    <row r="101" spans="1:19" x14ac:dyDescent="0.2">
      <c r="A101" s="99">
        <v>86</v>
      </c>
      <c r="B101" s="102"/>
      <c r="C101" s="553"/>
      <c r="D101" s="554"/>
      <c r="E101" s="102"/>
      <c r="F101" s="102"/>
      <c r="G101" s="103"/>
      <c r="H101" s="102"/>
      <c r="I101" s="102"/>
      <c r="J101" s="102"/>
      <c r="K101" s="102"/>
      <c r="L101" s="102"/>
      <c r="M101" s="102"/>
      <c r="N101" s="102"/>
      <c r="O101" s="102"/>
      <c r="Q101" s="100">
        <f t="shared" si="6"/>
        <v>0</v>
      </c>
      <c r="R101" s="100">
        <f t="shared" si="7"/>
        <v>0</v>
      </c>
      <c r="S101" s="100">
        <f t="shared" si="8"/>
        <v>0</v>
      </c>
    </row>
    <row r="102" spans="1:19" x14ac:dyDescent="0.2">
      <c r="A102" s="99">
        <v>87</v>
      </c>
      <c r="B102" s="102"/>
      <c r="C102" s="553"/>
      <c r="D102" s="554"/>
      <c r="E102" s="102"/>
      <c r="F102" s="102"/>
      <c r="G102" s="103"/>
      <c r="H102" s="102"/>
      <c r="I102" s="102"/>
      <c r="J102" s="102"/>
      <c r="K102" s="102"/>
      <c r="L102" s="102"/>
      <c r="M102" s="102"/>
      <c r="N102" s="102"/>
      <c r="O102" s="102"/>
      <c r="Q102" s="100">
        <f t="shared" si="6"/>
        <v>0</v>
      </c>
      <c r="R102" s="100">
        <f t="shared" si="7"/>
        <v>0</v>
      </c>
      <c r="S102" s="100">
        <f t="shared" si="8"/>
        <v>0</v>
      </c>
    </row>
    <row r="103" spans="1:19" x14ac:dyDescent="0.2">
      <c r="A103" s="99">
        <v>88</v>
      </c>
      <c r="B103" s="102"/>
      <c r="C103" s="553"/>
      <c r="D103" s="554"/>
      <c r="E103" s="102"/>
      <c r="F103" s="102"/>
      <c r="G103" s="103"/>
      <c r="H103" s="102"/>
      <c r="I103" s="102"/>
      <c r="J103" s="102"/>
      <c r="K103" s="102"/>
      <c r="L103" s="102"/>
      <c r="M103" s="102"/>
      <c r="N103" s="102"/>
      <c r="O103" s="102"/>
      <c r="Q103" s="100">
        <f t="shared" si="6"/>
        <v>0</v>
      </c>
      <c r="R103" s="100">
        <f t="shared" si="7"/>
        <v>0</v>
      </c>
      <c r="S103" s="100">
        <f t="shared" si="8"/>
        <v>0</v>
      </c>
    </row>
    <row r="104" spans="1:19" x14ac:dyDescent="0.2">
      <c r="A104" s="99">
        <v>89</v>
      </c>
      <c r="B104" s="102"/>
      <c r="C104" s="553"/>
      <c r="D104" s="554"/>
      <c r="E104" s="102"/>
      <c r="F104" s="102"/>
      <c r="G104" s="103"/>
      <c r="H104" s="102"/>
      <c r="I104" s="102"/>
      <c r="J104" s="102"/>
      <c r="K104" s="102"/>
      <c r="L104" s="102"/>
      <c r="M104" s="102"/>
      <c r="N104" s="102"/>
      <c r="O104" s="102"/>
      <c r="Q104" s="100">
        <f t="shared" si="6"/>
        <v>0</v>
      </c>
      <c r="R104" s="100">
        <f t="shared" si="7"/>
        <v>0</v>
      </c>
      <c r="S104" s="100">
        <f t="shared" si="8"/>
        <v>0</v>
      </c>
    </row>
    <row r="105" spans="1:19" x14ac:dyDescent="0.2">
      <c r="A105" s="99">
        <v>90</v>
      </c>
      <c r="B105" s="102"/>
      <c r="C105" s="553"/>
      <c r="D105" s="554"/>
      <c r="E105" s="102"/>
      <c r="F105" s="102"/>
      <c r="G105" s="103"/>
      <c r="H105" s="102"/>
      <c r="I105" s="102"/>
      <c r="J105" s="102"/>
      <c r="K105" s="102"/>
      <c r="L105" s="102"/>
      <c r="M105" s="102"/>
      <c r="N105" s="102"/>
      <c r="O105" s="102"/>
      <c r="Q105" s="100">
        <f t="shared" si="6"/>
        <v>0</v>
      </c>
      <c r="R105" s="100">
        <f t="shared" si="7"/>
        <v>0</v>
      </c>
      <c r="S105" s="100">
        <f t="shared" si="8"/>
        <v>0</v>
      </c>
    </row>
    <row r="106" spans="1:19" x14ac:dyDescent="0.2">
      <c r="A106" s="99">
        <v>91</v>
      </c>
      <c r="B106" s="102"/>
      <c r="C106" s="553"/>
      <c r="D106" s="554"/>
      <c r="E106" s="102"/>
      <c r="F106" s="102"/>
      <c r="G106" s="103"/>
      <c r="H106" s="102"/>
      <c r="I106" s="102"/>
      <c r="J106" s="102"/>
      <c r="K106" s="102"/>
      <c r="L106" s="102"/>
      <c r="M106" s="102"/>
      <c r="N106" s="102"/>
      <c r="O106" s="102"/>
      <c r="Q106" s="100">
        <f t="shared" si="6"/>
        <v>0</v>
      </c>
      <c r="R106" s="100">
        <f t="shared" si="7"/>
        <v>0</v>
      </c>
      <c r="S106" s="100">
        <f t="shared" si="8"/>
        <v>0</v>
      </c>
    </row>
    <row r="107" spans="1:19" x14ac:dyDescent="0.2">
      <c r="A107" s="99">
        <v>92</v>
      </c>
      <c r="B107" s="102"/>
      <c r="C107" s="553"/>
      <c r="D107" s="554"/>
      <c r="E107" s="102"/>
      <c r="F107" s="102"/>
      <c r="G107" s="103"/>
      <c r="H107" s="102"/>
      <c r="I107" s="102"/>
      <c r="J107" s="102"/>
      <c r="K107" s="102"/>
      <c r="L107" s="102"/>
      <c r="M107" s="102"/>
      <c r="N107" s="102"/>
      <c r="O107" s="102"/>
      <c r="Q107" s="100">
        <f t="shared" si="6"/>
        <v>0</v>
      </c>
      <c r="R107" s="100">
        <f t="shared" si="7"/>
        <v>0</v>
      </c>
      <c r="S107" s="100">
        <f t="shared" si="8"/>
        <v>0</v>
      </c>
    </row>
    <row r="108" spans="1:19" x14ac:dyDescent="0.2">
      <c r="A108" s="99">
        <v>93</v>
      </c>
      <c r="B108" s="102"/>
      <c r="C108" s="553"/>
      <c r="D108" s="554"/>
      <c r="E108" s="102"/>
      <c r="F108" s="102"/>
      <c r="G108" s="103"/>
      <c r="H108" s="102"/>
      <c r="I108" s="102"/>
      <c r="J108" s="102"/>
      <c r="K108" s="102"/>
      <c r="L108" s="102"/>
      <c r="M108" s="102"/>
      <c r="N108" s="102"/>
      <c r="O108" s="102"/>
      <c r="Q108" s="100">
        <f t="shared" si="6"/>
        <v>0</v>
      </c>
      <c r="R108" s="100">
        <f t="shared" si="7"/>
        <v>0</v>
      </c>
      <c r="S108" s="100">
        <f t="shared" si="8"/>
        <v>0</v>
      </c>
    </row>
    <row r="109" spans="1:19" x14ac:dyDescent="0.2">
      <c r="A109" s="99">
        <v>94</v>
      </c>
      <c r="B109" s="102"/>
      <c r="C109" s="553"/>
      <c r="D109" s="554"/>
      <c r="E109" s="102"/>
      <c r="F109" s="102"/>
      <c r="G109" s="103"/>
      <c r="H109" s="102"/>
      <c r="I109" s="102"/>
      <c r="J109" s="102"/>
      <c r="K109" s="102"/>
      <c r="L109" s="102"/>
      <c r="M109" s="102"/>
      <c r="N109" s="102"/>
      <c r="O109" s="102"/>
      <c r="Q109" s="100">
        <f t="shared" si="6"/>
        <v>0</v>
      </c>
      <c r="R109" s="100">
        <f t="shared" si="7"/>
        <v>0</v>
      </c>
      <c r="S109" s="100">
        <f t="shared" si="8"/>
        <v>0</v>
      </c>
    </row>
    <row r="110" spans="1:19" x14ac:dyDescent="0.2">
      <c r="A110" s="99">
        <v>95</v>
      </c>
      <c r="B110" s="102"/>
      <c r="C110" s="553"/>
      <c r="D110" s="554"/>
      <c r="E110" s="102"/>
      <c r="F110" s="102"/>
      <c r="G110" s="103"/>
      <c r="H110" s="102"/>
      <c r="I110" s="102"/>
      <c r="J110" s="102"/>
      <c r="K110" s="102"/>
      <c r="L110" s="102"/>
      <c r="M110" s="102"/>
      <c r="N110" s="102"/>
      <c r="O110" s="102"/>
      <c r="Q110" s="100">
        <f t="shared" si="6"/>
        <v>0</v>
      </c>
      <c r="R110" s="100">
        <f t="shared" si="7"/>
        <v>0</v>
      </c>
      <c r="S110" s="100">
        <f t="shared" si="8"/>
        <v>0</v>
      </c>
    </row>
    <row r="111" spans="1:19" x14ac:dyDescent="0.2">
      <c r="A111" s="99">
        <v>96</v>
      </c>
      <c r="B111" s="102"/>
      <c r="C111" s="553"/>
      <c r="D111" s="554"/>
      <c r="E111" s="102"/>
      <c r="F111" s="102"/>
      <c r="G111" s="103"/>
      <c r="H111" s="102"/>
      <c r="I111" s="102"/>
      <c r="J111" s="102"/>
      <c r="K111" s="102"/>
      <c r="L111" s="102"/>
      <c r="M111" s="102"/>
      <c r="N111" s="102"/>
      <c r="O111" s="102"/>
      <c r="Q111" s="100">
        <f t="shared" si="6"/>
        <v>0</v>
      </c>
      <c r="R111" s="100">
        <f t="shared" si="7"/>
        <v>0</v>
      </c>
      <c r="S111" s="100">
        <f t="shared" si="8"/>
        <v>0</v>
      </c>
    </row>
    <row r="112" spans="1:19" x14ac:dyDescent="0.2">
      <c r="A112" s="99">
        <v>97</v>
      </c>
      <c r="B112" s="102"/>
      <c r="C112" s="553"/>
      <c r="D112" s="554"/>
      <c r="E112" s="102"/>
      <c r="F112" s="102"/>
      <c r="G112" s="103"/>
      <c r="H112" s="102"/>
      <c r="I112" s="102"/>
      <c r="J112" s="102"/>
      <c r="K112" s="102"/>
      <c r="L112" s="102"/>
      <c r="M112" s="102"/>
      <c r="N112" s="102"/>
      <c r="O112" s="102"/>
      <c r="Q112" s="100">
        <f t="shared" si="6"/>
        <v>0</v>
      </c>
      <c r="R112" s="100">
        <f t="shared" si="7"/>
        <v>0</v>
      </c>
      <c r="S112" s="100">
        <f t="shared" si="8"/>
        <v>0</v>
      </c>
    </row>
    <row r="113" spans="1:19" x14ac:dyDescent="0.2">
      <c r="A113" s="99">
        <v>98</v>
      </c>
      <c r="B113" s="102"/>
      <c r="C113" s="553"/>
      <c r="D113" s="554"/>
      <c r="E113" s="102"/>
      <c r="F113" s="102"/>
      <c r="G113" s="103"/>
      <c r="H113" s="102"/>
      <c r="I113" s="102"/>
      <c r="J113" s="102"/>
      <c r="K113" s="102"/>
      <c r="L113" s="102"/>
      <c r="M113" s="102"/>
      <c r="N113" s="102"/>
      <c r="O113" s="102"/>
      <c r="Q113" s="100">
        <f t="shared" si="6"/>
        <v>0</v>
      </c>
      <c r="R113" s="100">
        <f t="shared" si="7"/>
        <v>0</v>
      </c>
      <c r="S113" s="100">
        <f t="shared" si="8"/>
        <v>0</v>
      </c>
    </row>
    <row r="114" spans="1:19" x14ac:dyDescent="0.2">
      <c r="A114" s="99">
        <v>99</v>
      </c>
      <c r="B114" s="102"/>
      <c r="C114" s="553"/>
      <c r="D114" s="554"/>
      <c r="E114" s="102"/>
      <c r="F114" s="102"/>
      <c r="G114" s="103"/>
      <c r="H114" s="102"/>
      <c r="I114" s="102"/>
      <c r="J114" s="102"/>
      <c r="K114" s="102"/>
      <c r="L114" s="102"/>
      <c r="M114" s="102"/>
      <c r="N114" s="102"/>
      <c r="O114" s="102"/>
      <c r="Q114" s="100">
        <f t="shared" si="6"/>
        <v>0</v>
      </c>
      <c r="R114" s="100">
        <f t="shared" si="7"/>
        <v>0</v>
      </c>
      <c r="S114" s="100">
        <f t="shared" si="8"/>
        <v>0</v>
      </c>
    </row>
    <row r="115" spans="1:19" x14ac:dyDescent="0.2">
      <c r="A115" s="99">
        <v>100</v>
      </c>
      <c r="B115" s="102"/>
      <c r="C115" s="553"/>
      <c r="D115" s="554"/>
      <c r="E115" s="102"/>
      <c r="F115" s="102"/>
      <c r="G115" s="103"/>
      <c r="H115" s="102"/>
      <c r="I115" s="102"/>
      <c r="J115" s="102"/>
      <c r="K115" s="102"/>
      <c r="L115" s="102"/>
      <c r="M115" s="102"/>
      <c r="N115" s="102"/>
      <c r="O115" s="102"/>
      <c r="Q115" s="100">
        <f t="shared" si="6"/>
        <v>0</v>
      </c>
      <c r="R115" s="100">
        <f t="shared" si="7"/>
        <v>0</v>
      </c>
      <c r="S115" s="100">
        <f t="shared" si="8"/>
        <v>0</v>
      </c>
    </row>
    <row r="118" spans="1:19" x14ac:dyDescent="0.2">
      <c r="S118" s="101"/>
    </row>
  </sheetData>
  <sheetProtection password="E299" sheet="1"/>
  <mergeCells count="120">
    <mergeCell ref="Q13:S13"/>
    <mergeCell ref="A1:L1"/>
    <mergeCell ref="A13:A15"/>
    <mergeCell ref="B13:B15"/>
    <mergeCell ref="G13:I13"/>
    <mergeCell ref="J13:L13"/>
    <mergeCell ref="D10:E10"/>
    <mergeCell ref="C18:D18"/>
    <mergeCell ref="C19:D19"/>
    <mergeCell ref="Q14:S14"/>
    <mergeCell ref="K2:N2"/>
    <mergeCell ref="M13:O13"/>
    <mergeCell ref="B3:C3"/>
    <mergeCell ref="C13:F13"/>
    <mergeCell ref="C15:D15"/>
    <mergeCell ref="C16:D16"/>
    <mergeCell ref="C17:D17"/>
    <mergeCell ref="C14:F14"/>
    <mergeCell ref="G14:I14"/>
    <mergeCell ref="J14:L14"/>
    <mergeCell ref="M14:O14"/>
    <mergeCell ref="B6:C6"/>
    <mergeCell ref="B7:C7"/>
    <mergeCell ref="B10:C10"/>
    <mergeCell ref="C24:D24"/>
    <mergeCell ref="C25:D25"/>
    <mergeCell ref="C26:D26"/>
    <mergeCell ref="C27:D27"/>
    <mergeCell ref="C28:D28"/>
    <mergeCell ref="C29:D29"/>
    <mergeCell ref="C20:D20"/>
    <mergeCell ref="C21:D21"/>
    <mergeCell ref="C22:D22"/>
    <mergeCell ref="C23:D23"/>
    <mergeCell ref="C36:D36"/>
    <mergeCell ref="C37:D37"/>
    <mergeCell ref="C38:D38"/>
    <mergeCell ref="C39:D39"/>
    <mergeCell ref="C40:D40"/>
    <mergeCell ref="C41:D41"/>
    <mergeCell ref="C30:D30"/>
    <mergeCell ref="C31:D31"/>
    <mergeCell ref="C32:D32"/>
    <mergeCell ref="C33:D33"/>
    <mergeCell ref="C34:D34"/>
    <mergeCell ref="C35:D35"/>
    <mergeCell ref="C48:D48"/>
    <mergeCell ref="C49:D49"/>
    <mergeCell ref="C50:D50"/>
    <mergeCell ref="C51:D51"/>
    <mergeCell ref="C52:D52"/>
    <mergeCell ref="C53:D53"/>
    <mergeCell ref="C42:D42"/>
    <mergeCell ref="C43:D43"/>
    <mergeCell ref="C44:D44"/>
    <mergeCell ref="C45:D45"/>
    <mergeCell ref="C46:D46"/>
    <mergeCell ref="C47:D47"/>
    <mergeCell ref="C60:D60"/>
    <mergeCell ref="C61:D61"/>
    <mergeCell ref="C62:D62"/>
    <mergeCell ref="C63:D63"/>
    <mergeCell ref="C64:D64"/>
    <mergeCell ref="C65:D65"/>
    <mergeCell ref="C54:D54"/>
    <mergeCell ref="C55:D55"/>
    <mergeCell ref="C56:D56"/>
    <mergeCell ref="C57:D57"/>
    <mergeCell ref="C58:D58"/>
    <mergeCell ref="C59:D59"/>
    <mergeCell ref="C72:D72"/>
    <mergeCell ref="C73:D73"/>
    <mergeCell ref="C74:D74"/>
    <mergeCell ref="C75:D75"/>
    <mergeCell ref="C76:D76"/>
    <mergeCell ref="C77:D77"/>
    <mergeCell ref="C66:D66"/>
    <mergeCell ref="C67:D67"/>
    <mergeCell ref="C68:D68"/>
    <mergeCell ref="C69:D69"/>
    <mergeCell ref="C70:D70"/>
    <mergeCell ref="C71:D71"/>
    <mergeCell ref="C84:D84"/>
    <mergeCell ref="C85:D85"/>
    <mergeCell ref="C86:D86"/>
    <mergeCell ref="C87:D87"/>
    <mergeCell ref="C88:D88"/>
    <mergeCell ref="C89:D89"/>
    <mergeCell ref="C78:D78"/>
    <mergeCell ref="C79:D79"/>
    <mergeCell ref="C80:D80"/>
    <mergeCell ref="C81:D81"/>
    <mergeCell ref="C82:D82"/>
    <mergeCell ref="C83:D83"/>
    <mergeCell ref="C115:D115"/>
    <mergeCell ref="C106:D106"/>
    <mergeCell ref="C107:D107"/>
    <mergeCell ref="C108:D108"/>
    <mergeCell ref="C109:D109"/>
    <mergeCell ref="C110:D110"/>
    <mergeCell ref="C111:D111"/>
    <mergeCell ref="C102:D102"/>
    <mergeCell ref="C103:D103"/>
    <mergeCell ref="C104:D104"/>
    <mergeCell ref="C105:D105"/>
    <mergeCell ref="C112:D112"/>
    <mergeCell ref="C113:D113"/>
    <mergeCell ref="C96:D96"/>
    <mergeCell ref="C97:D97"/>
    <mergeCell ref="C98:D98"/>
    <mergeCell ref="C99:D99"/>
    <mergeCell ref="C100:D100"/>
    <mergeCell ref="C101:D101"/>
    <mergeCell ref="C90:D90"/>
    <mergeCell ref="C91:D91"/>
    <mergeCell ref="C114:D114"/>
    <mergeCell ref="C92:D92"/>
    <mergeCell ref="C93:D93"/>
    <mergeCell ref="C94:D94"/>
    <mergeCell ref="C95:D95"/>
  </mergeCells>
  <phoneticPr fontId="0" type="noConversion"/>
  <pageMargins left="3.937007874015748E-2" right="3.937007874015748E-2" top="0.98425196850393704" bottom="0.98425196850393704" header="0.51181102362204722" footer="0.51181102362204722"/>
  <pageSetup paperSize="9" scale="60" orientation="landscape" verticalDpi="0"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30">
    <tabColor theme="6" tint="0.39997558519241921"/>
  </sheetPr>
  <dimension ref="A1:N38"/>
  <sheetViews>
    <sheetView showGridLines="0" workbookViewId="0">
      <selection activeCell="F29" sqref="F29"/>
    </sheetView>
  </sheetViews>
  <sheetFormatPr defaultRowHeight="12.75" x14ac:dyDescent="0.2"/>
  <cols>
    <col min="1" max="1" width="6.28515625" customWidth="1"/>
    <col min="2" max="2" width="17.28515625" customWidth="1"/>
    <col min="3" max="3" width="8.140625" bestFit="1" customWidth="1"/>
  </cols>
  <sheetData>
    <row r="1" spans="1:14" x14ac:dyDescent="0.2">
      <c r="A1" s="45" t="s">
        <v>753</v>
      </c>
    </row>
    <row r="3" spans="1:14" ht="13.5" thickBot="1" x14ac:dyDescent="0.25"/>
    <row r="4" spans="1:14" ht="15.75" thickBot="1" x14ac:dyDescent="0.3">
      <c r="A4" s="6" t="s">
        <v>754</v>
      </c>
      <c r="B4" s="7" t="s">
        <v>941</v>
      </c>
      <c r="K4" s="790" t="s">
        <v>84</v>
      </c>
      <c r="L4" s="791"/>
      <c r="M4" s="791"/>
      <c r="N4" s="792"/>
    </row>
    <row r="5" spans="1:14" ht="15" x14ac:dyDescent="0.25">
      <c r="K5" s="18"/>
      <c r="L5" s="20"/>
      <c r="M5" s="20"/>
      <c r="N5" s="19"/>
    </row>
    <row r="6" spans="1:14" ht="15" x14ac:dyDescent="0.25">
      <c r="B6" s="21"/>
      <c r="C6" s="21"/>
      <c r="D6" s="856" t="s">
        <v>422</v>
      </c>
      <c r="E6" s="857"/>
      <c r="F6" s="857"/>
      <c r="G6" s="857"/>
      <c r="H6" s="858"/>
      <c r="K6" s="8"/>
      <c r="L6" s="1"/>
      <c r="M6" s="14" t="s">
        <v>82</v>
      </c>
      <c r="N6" s="9"/>
    </row>
    <row r="7" spans="1:14" ht="15" x14ac:dyDescent="0.25">
      <c r="B7" s="21"/>
      <c r="C7" s="21"/>
      <c r="D7" s="41">
        <v>0.25</v>
      </c>
      <c r="E7" s="41">
        <v>0.27777777777777779</v>
      </c>
      <c r="F7" s="41">
        <v>0.30555555555555552</v>
      </c>
      <c r="G7" s="41">
        <v>0.31944444444444448</v>
      </c>
      <c r="H7" s="41">
        <v>0.33333333333333331</v>
      </c>
      <c r="K7" s="8"/>
      <c r="L7" s="2"/>
      <c r="M7" s="14" t="s">
        <v>94</v>
      </c>
      <c r="N7" s="9"/>
    </row>
    <row r="8" spans="1:14" ht="15" x14ac:dyDescent="0.25">
      <c r="B8" s="853" t="s">
        <v>423</v>
      </c>
      <c r="C8" s="40">
        <v>0.5</v>
      </c>
      <c r="D8" s="398">
        <v>2.34181818181818</v>
      </c>
      <c r="E8" s="398">
        <v>2.1065830721003098</v>
      </c>
      <c r="F8" s="398">
        <v>1.92</v>
      </c>
      <c r="G8" s="398">
        <v>1.8319307810833201</v>
      </c>
      <c r="H8" s="398">
        <v>1.7563636363636399</v>
      </c>
      <c r="K8" s="8"/>
      <c r="L8" s="13"/>
      <c r="M8" s="14" t="s">
        <v>83</v>
      </c>
      <c r="N8" s="9"/>
    </row>
    <row r="9" spans="1:14" ht="15.75" thickBot="1" x14ac:dyDescent="0.3">
      <c r="B9" s="854"/>
      <c r="C9" s="40">
        <v>0.54166666666666663</v>
      </c>
      <c r="D9" s="398">
        <v>2.6831774615161201</v>
      </c>
      <c r="E9" s="398">
        <v>2.2821316614420102</v>
      </c>
      <c r="F9" s="398">
        <v>2.0766464095249901</v>
      </c>
      <c r="G9" s="398">
        <v>1.9845916795069301</v>
      </c>
      <c r="H9" s="398">
        <v>1.9027272727272699</v>
      </c>
      <c r="K9" s="10"/>
      <c r="L9" s="11"/>
      <c r="M9" s="11"/>
      <c r="N9" s="12"/>
    </row>
    <row r="10" spans="1:14" ht="15" x14ac:dyDescent="0.2">
      <c r="B10" s="854"/>
      <c r="C10" s="40">
        <v>0.58333333333333337</v>
      </c>
      <c r="D10" s="398">
        <v>3.0245367412140598</v>
      </c>
      <c r="E10" s="398">
        <v>2.54448426091921</v>
      </c>
      <c r="F10" s="398">
        <v>2.2363884410269099</v>
      </c>
      <c r="G10" s="398">
        <v>2.13725257793054</v>
      </c>
      <c r="H10" s="398">
        <v>2.0490909090909102</v>
      </c>
    </row>
    <row r="11" spans="1:14" ht="15" x14ac:dyDescent="0.2">
      <c r="B11" s="854"/>
      <c r="C11" s="40">
        <v>0.625</v>
      </c>
      <c r="D11" s="398">
        <v>3.3658960209119999</v>
      </c>
      <c r="E11" s="398">
        <v>2.8515540777389399</v>
      </c>
      <c r="F11" s="398">
        <v>2.4368213101379399</v>
      </c>
      <c r="G11" s="398">
        <v>2.2899134763541502</v>
      </c>
      <c r="H11" s="398">
        <v>2.1954545454545502</v>
      </c>
    </row>
    <row r="12" spans="1:14" ht="15" x14ac:dyDescent="0.2">
      <c r="B12" s="854"/>
      <c r="C12" s="40">
        <v>0.66666666666666663</v>
      </c>
      <c r="D12" s="398">
        <v>3.7072553006099298</v>
      </c>
      <c r="E12" s="398">
        <v>3.15862389455868</v>
      </c>
      <c r="F12" s="398">
        <v>2.7162422757842699</v>
      </c>
      <c r="G12" s="398">
        <v>2.5180610433049901</v>
      </c>
      <c r="H12" s="398">
        <v>2.34181818181818</v>
      </c>
    </row>
    <row r="13" spans="1:14" ht="15" x14ac:dyDescent="0.2">
      <c r="B13" s="854"/>
      <c r="C13" s="40">
        <v>0.70833333333333337</v>
      </c>
      <c r="D13" s="398">
        <v>4.0486145803078699</v>
      </c>
      <c r="E13" s="398">
        <v>3.4656937113784099</v>
      </c>
      <c r="F13" s="398">
        <v>2.9956632414305999</v>
      </c>
      <c r="G13" s="398">
        <v>2.7850956819213701</v>
      </c>
      <c r="H13" s="398">
        <v>2.59783764159164</v>
      </c>
    </row>
    <row r="14" spans="1:14" ht="15" x14ac:dyDescent="0.2">
      <c r="B14" s="854"/>
      <c r="C14" s="40">
        <v>0.75</v>
      </c>
      <c r="D14" s="398">
        <v>4.38997386000581</v>
      </c>
      <c r="E14" s="398">
        <v>3.7727635281981402</v>
      </c>
      <c r="F14" s="398">
        <v>3.2750842070769401</v>
      </c>
      <c r="G14" s="398">
        <v>3.0521303205377501</v>
      </c>
      <c r="H14" s="398">
        <v>2.8538571013650902</v>
      </c>
    </row>
    <row r="15" spans="1:14" ht="15" x14ac:dyDescent="0.2">
      <c r="B15" s="854"/>
      <c r="C15" s="40">
        <v>0.79166666666666663</v>
      </c>
      <c r="D15" s="398">
        <v>4.7313331397037501</v>
      </c>
      <c r="E15" s="398">
        <v>4.0798333450178799</v>
      </c>
      <c r="F15" s="398">
        <v>3.5545051727232702</v>
      </c>
      <c r="G15" s="398">
        <v>3.3191649591541301</v>
      </c>
      <c r="H15" s="398">
        <v>3.1098765611385399</v>
      </c>
    </row>
    <row r="16" spans="1:14" ht="15" x14ac:dyDescent="0.2">
      <c r="B16" s="854"/>
      <c r="C16" s="40">
        <v>0.83333333333333337</v>
      </c>
      <c r="D16" s="398">
        <v>5.0726924194016796</v>
      </c>
      <c r="E16" s="398">
        <v>4.3869031618376102</v>
      </c>
      <c r="F16" s="398">
        <v>3.8339261383696002</v>
      </c>
      <c r="G16" s="398">
        <v>3.5861995977705101</v>
      </c>
      <c r="H16" s="398">
        <v>3.3658960209119999</v>
      </c>
    </row>
    <row r="17" spans="1:8" ht="15" x14ac:dyDescent="0.2">
      <c r="B17" s="854"/>
      <c r="C17" s="40">
        <v>0.875</v>
      </c>
      <c r="D17" s="398">
        <v>5.4140516990996197</v>
      </c>
      <c r="E17" s="398">
        <v>4.6939729786573503</v>
      </c>
      <c r="F17" s="398">
        <v>4.1133471040159399</v>
      </c>
      <c r="G17" s="398">
        <v>3.8532342363868901</v>
      </c>
      <c r="H17" s="398">
        <v>3.6219154806854501</v>
      </c>
    </row>
    <row r="18" spans="1:8" ht="15" x14ac:dyDescent="0.2">
      <c r="B18" s="854"/>
      <c r="C18" s="40">
        <v>0.91666666666666663</v>
      </c>
      <c r="D18" s="398">
        <v>5.7554109787975598</v>
      </c>
      <c r="E18" s="398">
        <v>5.0010427954770797</v>
      </c>
      <c r="F18" s="398">
        <v>4.39276806966227</v>
      </c>
      <c r="G18" s="398">
        <v>4.1202688750032701</v>
      </c>
      <c r="H18" s="398">
        <v>3.8779349404588999</v>
      </c>
    </row>
    <row r="19" spans="1:8" ht="15" x14ac:dyDescent="0.2">
      <c r="B19" s="854"/>
      <c r="C19" s="40">
        <v>0.95833333333333337</v>
      </c>
      <c r="D19" s="398">
        <v>6.0967702584954999</v>
      </c>
      <c r="E19" s="398">
        <v>5.3081126122968101</v>
      </c>
      <c r="F19" s="398">
        <v>4.6721890353086097</v>
      </c>
      <c r="G19" s="398">
        <v>4.3873035136196501</v>
      </c>
      <c r="H19" s="398">
        <v>4.1339544002323496</v>
      </c>
    </row>
    <row r="20" spans="1:8" ht="15" x14ac:dyDescent="0.2">
      <c r="B20" s="855"/>
      <c r="C20" s="40">
        <v>0.99930555555555556</v>
      </c>
      <c r="D20" s="398">
        <v>6.2981722335172821</v>
      </c>
      <c r="E20" s="398">
        <v>5.4892838042204568</v>
      </c>
      <c r="F20" s="398">
        <v>4.8370474050399404</v>
      </c>
      <c r="G20" s="398">
        <v>4.5448539504033096</v>
      </c>
      <c r="H20" s="398">
        <v>4.2850058814986927</v>
      </c>
    </row>
    <row r="22" spans="1:8" ht="15" x14ac:dyDescent="0.25">
      <c r="A22" s="115" t="s">
        <v>939</v>
      </c>
      <c r="B22" s="78" t="s">
        <v>942</v>
      </c>
      <c r="C22" s="139"/>
      <c r="D22" s="139"/>
      <c r="E22" s="139"/>
      <c r="F22" s="139"/>
      <c r="G22" s="139"/>
      <c r="H22" s="139"/>
    </row>
    <row r="23" spans="1:8" x14ac:dyDescent="0.2">
      <c r="A23" s="139"/>
      <c r="B23" s="139"/>
      <c r="C23" s="139"/>
      <c r="D23" s="139"/>
      <c r="E23" s="139"/>
      <c r="F23" s="139"/>
      <c r="G23" s="139"/>
      <c r="H23" s="139"/>
    </row>
    <row r="24" spans="1:8" ht="15" x14ac:dyDescent="0.2">
      <c r="A24" s="139"/>
      <c r="B24" s="404"/>
      <c r="C24" s="404"/>
      <c r="D24" s="859" t="s">
        <v>422</v>
      </c>
      <c r="E24" s="860"/>
      <c r="F24" s="860"/>
      <c r="G24" s="860"/>
      <c r="H24" s="861"/>
    </row>
    <row r="25" spans="1:8" ht="15" x14ac:dyDescent="0.2">
      <c r="A25" s="139"/>
      <c r="B25" s="404"/>
      <c r="C25" s="404"/>
      <c r="D25" s="504">
        <v>0.25</v>
      </c>
      <c r="E25" s="504">
        <v>0.27777777777777779</v>
      </c>
      <c r="F25" s="504">
        <v>0.30555555555555552</v>
      </c>
      <c r="G25" s="504">
        <v>0.31944444444444448</v>
      </c>
      <c r="H25" s="504">
        <v>0.33333333333333331</v>
      </c>
    </row>
    <row r="26" spans="1:8" ht="15" x14ac:dyDescent="0.2">
      <c r="A26" s="139"/>
      <c r="B26" s="862" t="s">
        <v>423</v>
      </c>
      <c r="C26" s="505">
        <v>0.5</v>
      </c>
      <c r="D26" s="398">
        <v>2.34</v>
      </c>
      <c r="E26" s="398">
        <v>2.11</v>
      </c>
      <c r="F26" s="398">
        <v>1.92</v>
      </c>
      <c r="G26" s="398">
        <v>1.83</v>
      </c>
      <c r="H26" s="398">
        <v>1.76</v>
      </c>
    </row>
    <row r="27" spans="1:8" ht="15" x14ac:dyDescent="0.2">
      <c r="A27" s="139"/>
      <c r="B27" s="863"/>
      <c r="C27" s="505">
        <v>0.54166666666666663</v>
      </c>
      <c r="D27" s="398">
        <v>2.52</v>
      </c>
      <c r="E27" s="398">
        <v>2.2799999999999998</v>
      </c>
      <c r="F27" s="398">
        <v>2.08</v>
      </c>
      <c r="G27" s="398">
        <v>1.98</v>
      </c>
      <c r="H27" s="398">
        <v>1.9</v>
      </c>
    </row>
    <row r="28" spans="1:8" ht="15" x14ac:dyDescent="0.2">
      <c r="A28" s="139"/>
      <c r="B28" s="863"/>
      <c r="C28" s="505">
        <v>0.58333333333333337</v>
      </c>
      <c r="D28" s="398">
        <v>2.72</v>
      </c>
      <c r="E28" s="398">
        <v>2.4500000000000002</v>
      </c>
      <c r="F28" s="398">
        <v>2.2363884410269099</v>
      </c>
      <c r="G28" s="398">
        <v>2.13725257793054</v>
      </c>
      <c r="H28" s="398">
        <v>2.0490909090909102</v>
      </c>
    </row>
    <row r="29" spans="1:8" ht="15" x14ac:dyDescent="0.2">
      <c r="A29" s="139"/>
      <c r="B29" s="863"/>
      <c r="C29" s="505">
        <v>0.625</v>
      </c>
      <c r="D29" s="398">
        <v>2.91</v>
      </c>
      <c r="E29" s="398">
        <v>2.6215999999999999</v>
      </c>
      <c r="F29" s="398">
        <v>2.3833000000000002</v>
      </c>
      <c r="G29" s="398">
        <v>2.2899134763541502</v>
      </c>
      <c r="H29" s="398">
        <v>2.1954545454545502</v>
      </c>
    </row>
    <row r="30" spans="1:8" ht="15" x14ac:dyDescent="0.2">
      <c r="A30" s="139"/>
      <c r="B30" s="863"/>
      <c r="C30" s="505">
        <v>0.66666666666666663</v>
      </c>
      <c r="D30" s="398">
        <v>3.1082000000000001</v>
      </c>
      <c r="E30" s="398">
        <v>2.7974000000000001</v>
      </c>
      <c r="F30" s="398">
        <v>2.5430999999999999</v>
      </c>
      <c r="G30" s="398">
        <v>2.4325000000000001</v>
      </c>
      <c r="H30" s="398">
        <v>2.3311999999999999</v>
      </c>
    </row>
    <row r="31" spans="1:8" ht="15" x14ac:dyDescent="0.2">
      <c r="A31" s="139"/>
      <c r="B31" s="863"/>
      <c r="C31" s="505">
        <v>0.70833333333333337</v>
      </c>
      <c r="D31" s="398">
        <v>3.3035000000000001</v>
      </c>
      <c r="E31" s="398">
        <v>2.9731999999999998</v>
      </c>
      <c r="F31" s="398">
        <v>2.7029000000000001</v>
      </c>
      <c r="G31" s="398">
        <v>2.5853999999999999</v>
      </c>
      <c r="H31" s="398">
        <v>2.4775999999999998</v>
      </c>
    </row>
    <row r="32" spans="1:8" ht="15" x14ac:dyDescent="0.2">
      <c r="A32" s="139"/>
      <c r="B32" s="863"/>
      <c r="C32" s="505">
        <v>0.75</v>
      </c>
      <c r="D32" s="398">
        <v>3.4984000000000002</v>
      </c>
      <c r="E32" s="398">
        <v>3.1486000000000001</v>
      </c>
      <c r="F32" s="398">
        <v>2.8622999999999998</v>
      </c>
      <c r="G32" s="398">
        <v>2.7279</v>
      </c>
      <c r="H32" s="398">
        <v>2.6238000000000001</v>
      </c>
    </row>
    <row r="33" spans="1:8" ht="15" x14ac:dyDescent="0.2">
      <c r="A33" s="139"/>
      <c r="B33" s="863"/>
      <c r="C33" s="505">
        <v>0.79166666666666663</v>
      </c>
      <c r="D33" s="398">
        <v>3.6941000000000002</v>
      </c>
      <c r="E33" s="398">
        <v>3.3247</v>
      </c>
      <c r="F33" s="398">
        <v>3.0224000000000002</v>
      </c>
      <c r="G33" s="398">
        <v>2.891</v>
      </c>
      <c r="H33" s="398">
        <v>2.7706</v>
      </c>
    </row>
    <row r="34" spans="1:8" ht="15" x14ac:dyDescent="0.2">
      <c r="A34" s="139"/>
      <c r="B34" s="863"/>
      <c r="C34" s="505">
        <v>0.83333333333333337</v>
      </c>
      <c r="D34" s="398">
        <v>3.8883999999999999</v>
      </c>
      <c r="E34" s="398">
        <v>3.4996</v>
      </c>
      <c r="F34" s="398">
        <v>3.1814</v>
      </c>
      <c r="G34" s="398">
        <v>3.0430999999999999</v>
      </c>
      <c r="H34" s="398">
        <v>2.9163000000000001</v>
      </c>
    </row>
    <row r="35" spans="1:8" ht="15" x14ac:dyDescent="0.2">
      <c r="A35" s="139"/>
      <c r="B35" s="863"/>
      <c r="C35" s="505">
        <v>0.875</v>
      </c>
      <c r="D35" s="398">
        <v>4.0841000000000003</v>
      </c>
      <c r="E35" s="398">
        <v>3.6757</v>
      </c>
      <c r="F35" s="398">
        <v>3.3414999999999999</v>
      </c>
      <c r="G35" s="398">
        <v>3.1962000000000002</v>
      </c>
      <c r="H35" s="398">
        <v>3.0630999999999999</v>
      </c>
    </row>
    <row r="36" spans="1:8" ht="15" x14ac:dyDescent="0.2">
      <c r="A36" s="139"/>
      <c r="B36" s="863"/>
      <c r="C36" s="505">
        <v>0.91666666666666663</v>
      </c>
      <c r="D36" s="398">
        <v>4.2793999999999999</v>
      </c>
      <c r="E36" s="398">
        <v>3.8513999999999999</v>
      </c>
      <c r="F36" s="398">
        <v>3.5013000000000001</v>
      </c>
      <c r="G36" s="398">
        <v>3.3491</v>
      </c>
      <c r="H36" s="398">
        <v>3.2094999999999998</v>
      </c>
    </row>
    <row r="37" spans="1:8" ht="15" x14ac:dyDescent="0.2">
      <c r="A37" s="139"/>
      <c r="B37" s="863"/>
      <c r="C37" s="505">
        <v>0.95833333333333337</v>
      </c>
      <c r="D37" s="398">
        <v>4.4743000000000004</v>
      </c>
      <c r="E37" s="398">
        <v>4.0267999999999997</v>
      </c>
      <c r="F37" s="398">
        <v>3.6608000000000001</v>
      </c>
      <c r="G37" s="398">
        <v>3.5015999999999998</v>
      </c>
      <c r="H37" s="398">
        <v>3.3557000000000001</v>
      </c>
    </row>
    <row r="38" spans="1:8" ht="15" x14ac:dyDescent="0.2">
      <c r="A38" s="139"/>
      <c r="B38" s="864"/>
      <c r="C38" s="505">
        <v>0.99930555555555556</v>
      </c>
      <c r="D38" s="398">
        <v>4.5895000000000001</v>
      </c>
      <c r="E38" s="398">
        <v>4.1306000000000003</v>
      </c>
      <c r="F38" s="398">
        <v>3.7551000000000001</v>
      </c>
      <c r="G38" s="398">
        <v>3.5918000000000001</v>
      </c>
      <c r="H38" s="398">
        <v>3.4420999999999999</v>
      </c>
    </row>
  </sheetData>
  <sheetProtection password="E159" sheet="1"/>
  <mergeCells count="5">
    <mergeCell ref="B8:B20"/>
    <mergeCell ref="D6:H6"/>
    <mergeCell ref="K4:N4"/>
    <mergeCell ref="D24:H24"/>
    <mergeCell ref="B26:B38"/>
  </mergeCells>
  <pageMargins left="0.23622047244094491" right="0.23622047244094491" top="0.74803149606299213" bottom="0.74803149606299213" header="0.31496062992125984" footer="0.31496062992125984"/>
  <pageSetup paperSize="9" scale="95" orientation="landscape"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31">
    <tabColor theme="6" tint="0.39997558519241921"/>
  </sheetPr>
  <dimension ref="A1:K11"/>
  <sheetViews>
    <sheetView showGridLines="0" workbookViewId="0">
      <selection activeCell="L22" sqref="L22"/>
    </sheetView>
  </sheetViews>
  <sheetFormatPr defaultColWidth="9.140625" defaultRowHeight="12.75" x14ac:dyDescent="0.2"/>
  <cols>
    <col min="1" max="16384" width="9.140625" style="139"/>
  </cols>
  <sheetData>
    <row r="1" spans="1:11" x14ac:dyDescent="0.2">
      <c r="A1" s="399" t="s">
        <v>755</v>
      </c>
    </row>
    <row r="3" spans="1:11" ht="15" x14ac:dyDescent="0.25">
      <c r="A3" s="400" t="s">
        <v>756</v>
      </c>
      <c r="B3" s="107" t="s">
        <v>238</v>
      </c>
    </row>
    <row r="4" spans="1:11" ht="13.5" thickBot="1" x14ac:dyDescent="0.25"/>
    <row r="5" spans="1:11" ht="16.5" thickBot="1" x14ac:dyDescent="0.25">
      <c r="C5" s="401" t="s">
        <v>264</v>
      </c>
      <c r="D5" s="401" t="s">
        <v>265</v>
      </c>
      <c r="H5" s="537" t="s">
        <v>84</v>
      </c>
      <c r="I5" s="538"/>
      <c r="J5" s="538"/>
      <c r="K5" s="539"/>
    </row>
    <row r="6" spans="1:11" ht="15" x14ac:dyDescent="0.25">
      <c r="A6" s="402" t="s">
        <v>239</v>
      </c>
      <c r="B6" s="402" t="s">
        <v>245</v>
      </c>
      <c r="C6" s="401" t="s">
        <v>240</v>
      </c>
      <c r="D6" s="401" t="s">
        <v>240</v>
      </c>
      <c r="H6" s="62"/>
      <c r="I6" s="63"/>
      <c r="J6" s="63"/>
      <c r="K6" s="64"/>
    </row>
    <row r="7" spans="1:11" ht="15" x14ac:dyDescent="0.25">
      <c r="A7" s="402">
        <v>1</v>
      </c>
      <c r="B7" s="402" t="s">
        <v>241</v>
      </c>
      <c r="C7" s="403">
        <v>0.29148046891328738</v>
      </c>
      <c r="D7" s="403">
        <v>0.64125703160923231</v>
      </c>
      <c r="H7" s="65"/>
      <c r="I7" s="66"/>
      <c r="J7" s="67" t="s">
        <v>82</v>
      </c>
      <c r="K7" s="68"/>
    </row>
    <row r="8" spans="1:11" ht="15" x14ac:dyDescent="0.25">
      <c r="A8" s="402">
        <v>2</v>
      </c>
      <c r="B8" s="402" t="s">
        <v>242</v>
      </c>
      <c r="C8" s="403">
        <v>0.28405714516057967</v>
      </c>
      <c r="D8" s="403">
        <v>0.55576397966200364</v>
      </c>
      <c r="H8" s="65"/>
      <c r="I8" s="71"/>
      <c r="J8" s="67" t="s">
        <v>94</v>
      </c>
      <c r="K8" s="68"/>
    </row>
    <row r="9" spans="1:11" ht="15" x14ac:dyDescent="0.25">
      <c r="A9" s="402">
        <v>3</v>
      </c>
      <c r="B9" s="402" t="s">
        <v>243</v>
      </c>
      <c r="C9" s="403">
        <v>0.28737565533092746</v>
      </c>
      <c r="D9" s="403">
        <v>0.48728915469157258</v>
      </c>
      <c r="H9" s="65"/>
      <c r="I9" s="72"/>
      <c r="J9" s="67" t="s">
        <v>83</v>
      </c>
      <c r="K9" s="68"/>
    </row>
    <row r="10" spans="1:11" ht="15.75" thickBot="1" x14ac:dyDescent="0.3">
      <c r="A10" s="402">
        <v>4</v>
      </c>
      <c r="B10" s="402" t="s">
        <v>244</v>
      </c>
      <c r="C10" s="403">
        <v>0.27128360390981804</v>
      </c>
      <c r="D10" s="403">
        <v>0.41551033003908844</v>
      </c>
      <c r="H10" s="73"/>
      <c r="I10" s="74"/>
      <c r="J10" s="74"/>
      <c r="K10" s="75"/>
    </row>
    <row r="11" spans="1:11" ht="15" x14ac:dyDescent="0.2">
      <c r="A11" s="402">
        <v>5</v>
      </c>
      <c r="B11" s="402" t="s">
        <v>246</v>
      </c>
      <c r="C11" s="403">
        <v>0.24073620237561813</v>
      </c>
      <c r="D11" s="403">
        <v>0.3512380657611478</v>
      </c>
    </row>
  </sheetData>
  <sheetProtection password="E159" sheet="1"/>
  <mergeCells count="1">
    <mergeCell ref="H5:K5"/>
  </mergeCells>
  <pageMargins left="0.511811024" right="0.511811024" top="0.78740157499999996" bottom="0.78740157499999996" header="0.31496062000000002" footer="0.31496062000000002"/>
  <pageSetup paperSize="9" orientation="landscape" verticalDpi="0"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ilha32">
    <tabColor theme="6" tint="0.39997558519241921"/>
  </sheetPr>
  <dimension ref="A1:Y46"/>
  <sheetViews>
    <sheetView showGridLines="0" zoomScaleNormal="100" workbookViewId="0">
      <selection activeCell="M28" sqref="M28"/>
    </sheetView>
  </sheetViews>
  <sheetFormatPr defaultColWidth="11.42578125" defaultRowHeight="12.75" x14ac:dyDescent="0.2"/>
  <cols>
    <col min="1" max="1" width="11.42578125" style="406" customWidth="1"/>
    <col min="2" max="2" width="10" style="404" customWidth="1"/>
    <col min="3" max="3" width="16.42578125" style="404" bestFit="1" customWidth="1"/>
    <col min="4" max="4" width="11.7109375" style="404" customWidth="1"/>
    <col min="5" max="5" width="10" style="404" bestFit="1" customWidth="1"/>
    <col min="6" max="6" width="10.7109375" style="404" bestFit="1" customWidth="1"/>
    <col min="7" max="7" width="9.28515625" style="404" bestFit="1" customWidth="1"/>
    <col min="8" max="8" width="11.28515625" style="404" bestFit="1" customWidth="1"/>
    <col min="9" max="9" width="9.28515625" style="404" bestFit="1" customWidth="1"/>
    <col min="10" max="10" width="10.7109375" style="404" bestFit="1" customWidth="1"/>
    <col min="11" max="11" width="2.85546875" style="404" customWidth="1"/>
    <col min="12" max="12" width="8" style="404" customWidth="1"/>
    <col min="13" max="13" width="27.140625" style="404" customWidth="1"/>
    <col min="14" max="14" width="10.42578125" style="404" customWidth="1"/>
    <col min="15" max="16" width="11.42578125" style="404" customWidth="1"/>
    <col min="17" max="17" width="24.7109375" style="404" customWidth="1"/>
    <col min="18" max="18" width="11.28515625" style="404" customWidth="1"/>
    <col min="19" max="21" width="11.42578125" style="404" customWidth="1"/>
    <col min="22" max="22" width="9.5703125" style="404" bestFit="1" customWidth="1"/>
    <col min="23" max="16384" width="11.42578125" style="404"/>
  </cols>
  <sheetData>
    <row r="1" spans="1:25" x14ac:dyDescent="0.2">
      <c r="A1" s="399" t="s">
        <v>905</v>
      </c>
    </row>
    <row r="2" spans="1:25" ht="15" x14ac:dyDescent="0.25">
      <c r="A2" s="405" t="s">
        <v>268</v>
      </c>
      <c r="B2" s="90" t="s">
        <v>397</v>
      </c>
      <c r="C2" s="90"/>
      <c r="D2" s="90"/>
      <c r="E2" s="90"/>
    </row>
    <row r="3" spans="1:25" x14ac:dyDescent="0.2">
      <c r="B3" s="569" t="s">
        <v>398</v>
      </c>
      <c r="C3" s="569"/>
      <c r="D3" s="87" t="s">
        <v>395</v>
      </c>
      <c r="E3" s="90" t="s">
        <v>400</v>
      </c>
    </row>
    <row r="4" spans="1:25" x14ac:dyDescent="0.2">
      <c r="B4" s="871" t="s">
        <v>399</v>
      </c>
      <c r="C4" s="871"/>
      <c r="D4" s="87"/>
      <c r="E4" s="90" t="s">
        <v>401</v>
      </c>
    </row>
    <row r="6" spans="1:25" ht="15" x14ac:dyDescent="0.25">
      <c r="A6" s="405"/>
      <c r="B6" s="407" t="s">
        <v>269</v>
      </c>
      <c r="P6" s="408"/>
      <c r="Q6" s="408"/>
      <c r="R6" s="408"/>
      <c r="S6" s="408"/>
      <c r="T6" s="408"/>
      <c r="U6" s="408"/>
      <c r="V6" s="408"/>
    </row>
    <row r="7" spans="1:25" ht="13.5" customHeight="1" thickBot="1" x14ac:dyDescent="0.25">
      <c r="P7" s="443"/>
      <c r="Q7" s="443"/>
      <c r="R7" s="443"/>
      <c r="S7" s="443"/>
      <c r="T7" s="443"/>
      <c r="U7" s="443"/>
      <c r="V7" s="408"/>
    </row>
    <row r="8" spans="1:25" ht="15.75" thickBot="1" x14ac:dyDescent="0.25">
      <c r="K8" s="865" t="s">
        <v>84</v>
      </c>
      <c r="L8" s="866"/>
      <c r="M8" s="866"/>
      <c r="N8" s="867"/>
      <c r="O8" s="409"/>
      <c r="P8" s="435"/>
      <c r="Q8" s="435"/>
      <c r="R8" s="435"/>
      <c r="S8" s="435"/>
      <c r="T8" s="435">
        <v>1</v>
      </c>
      <c r="U8" s="435"/>
      <c r="V8" s="410"/>
      <c r="W8" s="409"/>
      <c r="X8" s="409"/>
    </row>
    <row r="9" spans="1:25" ht="15" x14ac:dyDescent="0.25">
      <c r="K9" s="411"/>
      <c r="L9" s="412"/>
      <c r="M9" s="413"/>
      <c r="N9" s="414"/>
      <c r="O9" s="409"/>
      <c r="P9" s="435"/>
      <c r="Q9" s="435"/>
      <c r="R9" s="435"/>
      <c r="S9" s="435"/>
      <c r="T9" s="435"/>
      <c r="U9" s="435"/>
      <c r="V9" s="410"/>
      <c r="W9" s="409"/>
      <c r="X9" s="409"/>
      <c r="Y9" s="408"/>
    </row>
    <row r="10" spans="1:25" ht="15" x14ac:dyDescent="0.25">
      <c r="F10" s="415"/>
      <c r="G10" s="415"/>
      <c r="H10" s="415"/>
      <c r="I10" s="415"/>
      <c r="J10" s="415"/>
      <c r="K10" s="416"/>
      <c r="L10" s="66"/>
      <c r="M10" s="417" t="s">
        <v>82</v>
      </c>
      <c r="N10" s="418"/>
      <c r="O10" s="409"/>
      <c r="P10" s="435"/>
      <c r="Q10" s="436" t="s">
        <v>270</v>
      </c>
      <c r="R10" s="436" t="s">
        <v>271</v>
      </c>
      <c r="S10" s="436" t="s">
        <v>272</v>
      </c>
      <c r="T10" s="436" t="s">
        <v>273</v>
      </c>
      <c r="U10" s="435"/>
      <c r="V10" s="419"/>
      <c r="W10" s="409"/>
      <c r="X10" s="409"/>
      <c r="Y10" s="408"/>
    </row>
    <row r="11" spans="1:25" ht="15" x14ac:dyDescent="0.25">
      <c r="K11" s="416"/>
      <c r="L11" s="71"/>
      <c r="M11" s="417" t="s">
        <v>94</v>
      </c>
      <c r="N11" s="418"/>
      <c r="O11" s="409"/>
      <c r="P11" s="435"/>
      <c r="Q11" s="437">
        <v>0.95</v>
      </c>
      <c r="R11" s="438">
        <v>5.0200000000000002E-2</v>
      </c>
      <c r="S11" s="438">
        <v>7.3099999999999998E-2</v>
      </c>
      <c r="T11" s="438">
        <v>0.12</v>
      </c>
      <c r="U11" s="435"/>
      <c r="V11" s="420"/>
      <c r="W11" s="409"/>
      <c r="X11" s="409"/>
      <c r="Y11" s="408"/>
    </row>
    <row r="12" spans="1:25" ht="15" x14ac:dyDescent="0.25">
      <c r="K12" s="416"/>
      <c r="L12" s="72"/>
      <c r="M12" s="417" t="s">
        <v>83</v>
      </c>
      <c r="N12" s="418"/>
      <c r="O12" s="409"/>
      <c r="P12" s="435"/>
      <c r="Q12" s="437">
        <v>0.9</v>
      </c>
      <c r="R12" s="438">
        <v>3.9300000000000002E-2</v>
      </c>
      <c r="S12" s="438">
        <v>5.7099999999999998E-2</v>
      </c>
      <c r="T12" s="438">
        <v>9.3799999999999994E-2</v>
      </c>
      <c r="U12" s="435"/>
      <c r="V12" s="420"/>
      <c r="W12" s="409"/>
      <c r="X12" s="409"/>
      <c r="Y12" s="408"/>
    </row>
    <row r="13" spans="1:25" ht="15.75" thickBot="1" x14ac:dyDescent="0.3">
      <c r="K13" s="421"/>
      <c r="L13" s="422"/>
      <c r="M13" s="423"/>
      <c r="N13" s="424"/>
      <c r="O13" s="409"/>
      <c r="P13" s="435"/>
      <c r="Q13" s="437">
        <v>0.85</v>
      </c>
      <c r="R13" s="438">
        <v>3.15E-2</v>
      </c>
      <c r="S13" s="438">
        <v>4.58E-2</v>
      </c>
      <c r="T13" s="438">
        <v>7.5300000000000006E-2</v>
      </c>
      <c r="U13" s="435"/>
      <c r="V13" s="420"/>
      <c r="W13" s="409"/>
      <c r="X13" s="409"/>
      <c r="Y13" s="408"/>
    </row>
    <row r="14" spans="1:25" ht="15" x14ac:dyDescent="0.2">
      <c r="M14" s="408"/>
      <c r="N14" s="408"/>
      <c r="O14" s="409"/>
      <c r="P14" s="435"/>
      <c r="Q14" s="437"/>
      <c r="R14" s="438"/>
      <c r="S14" s="438"/>
      <c r="T14" s="438"/>
      <c r="U14" s="435"/>
      <c r="V14" s="420"/>
      <c r="W14" s="409"/>
      <c r="X14" s="409"/>
      <c r="Y14" s="408"/>
    </row>
    <row r="15" spans="1:25" ht="15" x14ac:dyDescent="0.2">
      <c r="M15" s="408"/>
      <c r="N15" s="408"/>
      <c r="O15" s="409"/>
      <c r="P15" s="435"/>
      <c r="Q15" s="437"/>
      <c r="R15" s="438"/>
      <c r="S15" s="438"/>
      <c r="T15" s="438"/>
      <c r="U15" s="435"/>
      <c r="V15" s="410"/>
      <c r="W15" s="409"/>
      <c r="X15" s="409"/>
      <c r="Y15" s="408"/>
    </row>
    <row r="16" spans="1:25" x14ac:dyDescent="0.2">
      <c r="M16" s="408"/>
      <c r="N16" s="408"/>
      <c r="O16" s="409"/>
      <c r="P16" s="435"/>
      <c r="Q16" s="435"/>
      <c r="R16" s="439" t="s">
        <v>270</v>
      </c>
      <c r="S16" s="436" t="s">
        <v>270</v>
      </c>
      <c r="T16" s="436" t="s">
        <v>274</v>
      </c>
      <c r="U16" s="435"/>
      <c r="V16" s="410"/>
      <c r="W16" s="409"/>
      <c r="X16" s="409"/>
      <c r="Y16" s="408"/>
    </row>
    <row r="17" spans="1:25" ht="12.75" customHeight="1" x14ac:dyDescent="0.2">
      <c r="M17" s="408"/>
      <c r="N17" s="408"/>
      <c r="O17" s="409"/>
      <c r="P17" s="435"/>
      <c r="Q17" s="440" t="s">
        <v>275</v>
      </c>
      <c r="R17" s="436" t="s">
        <v>271</v>
      </c>
      <c r="S17" s="441">
        <f>R11</f>
        <v>5.0200000000000002E-2</v>
      </c>
      <c r="T17" s="442">
        <f t="shared" ref="T17:T25" si="0">S17</f>
        <v>5.0200000000000002E-2</v>
      </c>
      <c r="U17" s="435"/>
      <c r="V17" s="410"/>
      <c r="W17" s="409"/>
      <c r="X17" s="409"/>
      <c r="Y17" s="408"/>
    </row>
    <row r="18" spans="1:25" x14ac:dyDescent="0.2">
      <c r="M18" s="408"/>
      <c r="N18" s="408"/>
      <c r="O18" s="409"/>
      <c r="P18" s="435"/>
      <c r="Q18" s="440"/>
      <c r="R18" s="436" t="s">
        <v>272</v>
      </c>
      <c r="S18" s="441">
        <f>S11</f>
        <v>7.3099999999999998E-2</v>
      </c>
      <c r="T18" s="442">
        <f t="shared" si="0"/>
        <v>7.3099999999999998E-2</v>
      </c>
      <c r="U18" s="435"/>
      <c r="V18" s="410"/>
      <c r="W18" s="409"/>
      <c r="X18" s="409"/>
      <c r="Y18" s="408"/>
    </row>
    <row r="19" spans="1:25" x14ac:dyDescent="0.2">
      <c r="M19" s="408"/>
      <c r="N19" s="408"/>
      <c r="O19" s="409"/>
      <c r="P19" s="435"/>
      <c r="Q19" s="440"/>
      <c r="R19" s="436" t="s">
        <v>273</v>
      </c>
      <c r="S19" s="441">
        <f>T11</f>
        <v>0.12</v>
      </c>
      <c r="T19" s="442">
        <f t="shared" si="0"/>
        <v>0.12</v>
      </c>
      <c r="U19" s="435"/>
      <c r="V19" s="410"/>
      <c r="W19" s="409"/>
      <c r="X19" s="409"/>
      <c r="Y19" s="408"/>
    </row>
    <row r="20" spans="1:25" x14ac:dyDescent="0.2">
      <c r="M20" s="408"/>
      <c r="N20" s="408"/>
      <c r="O20" s="409"/>
      <c r="P20" s="435"/>
      <c r="Q20" s="440" t="s">
        <v>276</v>
      </c>
      <c r="R20" s="436" t="s">
        <v>271</v>
      </c>
      <c r="S20" s="441">
        <f>R12</f>
        <v>3.9300000000000002E-2</v>
      </c>
      <c r="T20" s="442">
        <f t="shared" si="0"/>
        <v>3.9300000000000002E-2</v>
      </c>
      <c r="U20" s="435"/>
      <c r="V20" s="410"/>
      <c r="W20" s="409"/>
      <c r="X20" s="409"/>
      <c r="Y20" s="408"/>
    </row>
    <row r="21" spans="1:25" x14ac:dyDescent="0.2">
      <c r="M21" s="408"/>
      <c r="N21" s="408"/>
      <c r="O21" s="409"/>
      <c r="P21" s="435"/>
      <c r="Q21" s="440"/>
      <c r="R21" s="436" t="s">
        <v>272</v>
      </c>
      <c r="S21" s="441">
        <f>S12</f>
        <v>5.7099999999999998E-2</v>
      </c>
      <c r="T21" s="442">
        <f t="shared" si="0"/>
        <v>5.7099999999999998E-2</v>
      </c>
      <c r="U21" s="435"/>
      <c r="V21" s="410"/>
      <c r="W21" s="409"/>
      <c r="X21" s="409"/>
      <c r="Y21" s="408"/>
    </row>
    <row r="22" spans="1:25" ht="12.75" customHeight="1" x14ac:dyDescent="0.2">
      <c r="M22" s="408"/>
      <c r="N22" s="408"/>
      <c r="O22" s="409"/>
      <c r="P22" s="435"/>
      <c r="Q22" s="440"/>
      <c r="R22" s="436" t="s">
        <v>273</v>
      </c>
      <c r="S22" s="441">
        <f>T12</f>
        <v>9.3799999999999994E-2</v>
      </c>
      <c r="T22" s="442">
        <f t="shared" si="0"/>
        <v>9.3799999999999994E-2</v>
      </c>
      <c r="U22" s="435"/>
      <c r="V22" s="410"/>
      <c r="W22" s="409"/>
      <c r="X22" s="409"/>
      <c r="Y22" s="408"/>
    </row>
    <row r="23" spans="1:25" x14ac:dyDescent="0.2">
      <c r="M23" s="408"/>
      <c r="N23" s="408"/>
      <c r="O23" s="409"/>
      <c r="P23" s="435"/>
      <c r="Q23" s="440" t="s">
        <v>277</v>
      </c>
      <c r="R23" s="436" t="s">
        <v>271</v>
      </c>
      <c r="S23" s="441">
        <f>R13</f>
        <v>3.15E-2</v>
      </c>
      <c r="T23" s="442">
        <f t="shared" si="0"/>
        <v>3.15E-2</v>
      </c>
      <c r="U23" s="435"/>
      <c r="V23" s="410"/>
      <c r="W23" s="409"/>
      <c r="X23" s="409"/>
      <c r="Y23" s="408"/>
    </row>
    <row r="24" spans="1:25" x14ac:dyDescent="0.2">
      <c r="M24" s="408"/>
      <c r="N24" s="408"/>
      <c r="O24" s="409"/>
      <c r="P24" s="435"/>
      <c r="Q24" s="440"/>
      <c r="R24" s="436" t="s">
        <v>272</v>
      </c>
      <c r="S24" s="441">
        <f>S13</f>
        <v>4.58E-2</v>
      </c>
      <c r="T24" s="442">
        <f t="shared" si="0"/>
        <v>4.58E-2</v>
      </c>
      <c r="U24" s="435"/>
      <c r="V24" s="410"/>
      <c r="W24" s="409"/>
      <c r="X24" s="409"/>
      <c r="Y24" s="408"/>
    </row>
    <row r="25" spans="1:25" x14ac:dyDescent="0.2">
      <c r="M25" s="408"/>
      <c r="N25" s="408"/>
      <c r="O25" s="409"/>
      <c r="P25" s="435"/>
      <c r="Q25" s="435"/>
      <c r="R25" s="436" t="s">
        <v>273</v>
      </c>
      <c r="S25" s="441">
        <f>T13</f>
        <v>7.5300000000000006E-2</v>
      </c>
      <c r="T25" s="442">
        <f t="shared" si="0"/>
        <v>7.5300000000000006E-2</v>
      </c>
      <c r="U25" s="435"/>
      <c r="V25" s="410"/>
      <c r="W25" s="409"/>
      <c r="X25" s="409"/>
      <c r="Y25" s="408"/>
    </row>
    <row r="26" spans="1:25" x14ac:dyDescent="0.2">
      <c r="M26" s="408"/>
      <c r="N26" s="408"/>
      <c r="O26" s="409"/>
      <c r="P26" s="435"/>
      <c r="Q26" s="440"/>
      <c r="R26" s="435"/>
      <c r="S26" s="441"/>
      <c r="T26" s="441"/>
      <c r="U26" s="442"/>
      <c r="V26" s="410"/>
      <c r="W26" s="409"/>
      <c r="X26" s="409"/>
      <c r="Y26" s="408"/>
    </row>
    <row r="27" spans="1:25" ht="12.75" customHeight="1" x14ac:dyDescent="0.2">
      <c r="M27" s="408"/>
      <c r="N27" s="408"/>
      <c r="O27" s="409"/>
      <c r="P27" s="435"/>
      <c r="Q27" s="440"/>
      <c r="R27" s="435"/>
      <c r="S27" s="441"/>
      <c r="T27" s="441"/>
      <c r="U27" s="442"/>
      <c r="V27" s="410"/>
      <c r="W27" s="409"/>
      <c r="X27" s="409"/>
      <c r="Y27" s="408"/>
    </row>
    <row r="28" spans="1:25" ht="15" x14ac:dyDescent="0.25">
      <c r="A28" s="405" t="s">
        <v>278</v>
      </c>
      <c r="B28" s="407" t="s">
        <v>279</v>
      </c>
      <c r="M28" s="408"/>
      <c r="N28" s="408"/>
      <c r="O28" s="409"/>
      <c r="P28" s="435"/>
      <c r="Q28" s="440"/>
      <c r="R28" s="435"/>
      <c r="S28" s="441"/>
      <c r="T28" s="441"/>
      <c r="U28" s="442"/>
      <c r="V28" s="410"/>
      <c r="W28" s="409"/>
      <c r="X28" s="409"/>
      <c r="Y28" s="408"/>
    </row>
    <row r="29" spans="1:25" ht="17.25" customHeight="1" x14ac:dyDescent="0.2">
      <c r="A29" s="447"/>
      <c r="B29" s="448"/>
      <c r="C29" s="448"/>
      <c r="D29" s="448"/>
      <c r="M29" s="408"/>
      <c r="N29" s="408"/>
      <c r="O29" s="409"/>
      <c r="P29" s="443"/>
      <c r="Q29" s="444"/>
      <c r="R29" s="443"/>
      <c r="S29" s="445"/>
      <c r="T29" s="445"/>
      <c r="U29" s="446"/>
      <c r="V29" s="408"/>
      <c r="W29" s="409"/>
      <c r="X29" s="409"/>
      <c r="Y29" s="408"/>
    </row>
    <row r="30" spans="1:25" ht="17.25" customHeight="1" thickBot="1" x14ac:dyDescent="0.25">
      <c r="M30" s="408"/>
      <c r="N30" s="408"/>
      <c r="O30" s="409"/>
      <c r="P30" s="443"/>
      <c r="Q30" s="444"/>
      <c r="R30" s="443"/>
      <c r="S30" s="445"/>
      <c r="T30" s="445"/>
      <c r="U30" s="446"/>
      <c r="V30" s="408"/>
      <c r="W30" s="409"/>
      <c r="X30" s="409"/>
      <c r="Y30" s="408"/>
    </row>
    <row r="31" spans="1:25" x14ac:dyDescent="0.2">
      <c r="B31" s="425" t="s">
        <v>280</v>
      </c>
      <c r="C31" s="426" t="s">
        <v>293</v>
      </c>
      <c r="D31" s="427" t="s">
        <v>848</v>
      </c>
      <c r="M31" s="408"/>
      <c r="N31" s="408"/>
      <c r="O31" s="409"/>
      <c r="P31" s="443"/>
      <c r="Q31" s="444"/>
      <c r="R31" s="443"/>
      <c r="S31" s="445"/>
      <c r="T31" s="445"/>
      <c r="U31" s="446"/>
      <c r="V31" s="408"/>
      <c r="W31" s="409"/>
      <c r="X31" s="409"/>
      <c r="Y31" s="408"/>
    </row>
    <row r="32" spans="1:25" ht="23.25" customHeight="1" x14ac:dyDescent="0.2">
      <c r="B32" s="428">
        <f>IF(T8=1,R11,IF(T8=2,R12,IF(T8=3,R13,IF(T8=4,R14,"ERROR"))))</f>
        <v>5.0200000000000002E-2</v>
      </c>
      <c r="C32" s="429">
        <f>IF(T8=1,S11,IF(T8=2,S12,IF(T8=3,S13,IF(T8=4,S14,"ERROR"))))</f>
        <v>7.3099999999999998E-2</v>
      </c>
      <c r="D32" s="430">
        <f>IF(T8=1,T11,IF(T8=2,T12,IF(T8=3,T13,IF(T8=4,T14,"ERROR"))))</f>
        <v>0.12</v>
      </c>
      <c r="M32" s="408"/>
      <c r="N32" s="408"/>
      <c r="O32" s="409"/>
      <c r="P32" s="443"/>
      <c r="Q32" s="443"/>
      <c r="R32" s="443"/>
      <c r="S32" s="443"/>
      <c r="T32" s="443"/>
      <c r="U32" s="443"/>
      <c r="V32" s="408"/>
      <c r="W32" s="409"/>
      <c r="X32" s="409"/>
      <c r="Y32" s="408"/>
    </row>
    <row r="33" spans="1:25" ht="21.75" customHeight="1" thickBot="1" x14ac:dyDescent="0.25">
      <c r="B33" s="868" t="s">
        <v>281</v>
      </c>
      <c r="C33" s="869"/>
      <c r="D33" s="870"/>
      <c r="M33" s="408"/>
      <c r="N33" s="408"/>
      <c r="O33" s="409"/>
      <c r="P33" s="443"/>
      <c r="Q33" s="443"/>
      <c r="R33" s="443"/>
      <c r="S33" s="443"/>
      <c r="T33" s="443"/>
      <c r="U33" s="443"/>
      <c r="V33" s="408"/>
      <c r="W33" s="409"/>
      <c r="X33" s="409"/>
      <c r="Y33" s="408"/>
    </row>
    <row r="34" spans="1:25" ht="12.75" customHeight="1" x14ac:dyDescent="0.2">
      <c r="M34" s="408"/>
      <c r="N34" s="408"/>
      <c r="O34" s="409"/>
      <c r="P34" s="443"/>
      <c r="Q34" s="443"/>
      <c r="R34" s="443"/>
      <c r="S34" s="443"/>
      <c r="T34" s="443"/>
      <c r="U34" s="443"/>
      <c r="V34" s="408"/>
      <c r="W34" s="409"/>
      <c r="X34" s="409"/>
      <c r="Y34" s="408"/>
    </row>
    <row r="35" spans="1:25" ht="15" x14ac:dyDescent="0.25">
      <c r="A35" s="405" t="s">
        <v>282</v>
      </c>
      <c r="B35" s="407" t="s">
        <v>283</v>
      </c>
      <c r="M35" s="408"/>
      <c r="N35" s="408"/>
      <c r="O35" s="409"/>
      <c r="P35" s="443"/>
      <c r="Q35" s="443"/>
      <c r="R35" s="443"/>
      <c r="S35" s="443"/>
      <c r="T35" s="443"/>
      <c r="U35" s="443"/>
      <c r="V35" s="408"/>
      <c r="W35" s="409"/>
      <c r="X35" s="409"/>
      <c r="Y35" s="408"/>
    </row>
    <row r="36" spans="1:25" ht="15" x14ac:dyDescent="0.25">
      <c r="B36" s="431" t="s">
        <v>284</v>
      </c>
      <c r="C36" s="434">
        <v>7.3099999999999998E-2</v>
      </c>
      <c r="M36" s="408"/>
      <c r="N36" s="408"/>
      <c r="O36" s="409"/>
      <c r="P36" s="408"/>
      <c r="Q36" s="408"/>
      <c r="R36" s="408"/>
      <c r="S36" s="408"/>
      <c r="T36" s="408"/>
      <c r="U36" s="408"/>
      <c r="V36" s="408"/>
      <c r="W36" s="409"/>
      <c r="X36" s="409"/>
      <c r="Y36" s="408"/>
    </row>
    <row r="37" spans="1:25" x14ac:dyDescent="0.2">
      <c r="M37" s="408"/>
      <c r="N37" s="408"/>
      <c r="O37" s="409"/>
      <c r="P37" s="408"/>
      <c r="Q37" s="408"/>
      <c r="R37" s="408"/>
      <c r="S37" s="408"/>
      <c r="T37" s="408"/>
      <c r="U37" s="408"/>
      <c r="V37" s="408"/>
      <c r="W37" s="409"/>
      <c r="X37" s="409"/>
      <c r="Y37" s="408"/>
    </row>
    <row r="38" spans="1:25" x14ac:dyDescent="0.2">
      <c r="M38" s="408"/>
      <c r="N38" s="408"/>
      <c r="O38" s="409"/>
      <c r="P38" s="409"/>
      <c r="Q38" s="409"/>
      <c r="R38" s="409"/>
      <c r="S38" s="409"/>
      <c r="T38" s="409"/>
      <c r="U38" s="409"/>
      <c r="V38" s="409"/>
      <c r="W38" s="409"/>
      <c r="X38" s="409"/>
      <c r="Y38" s="408"/>
    </row>
    <row r="39" spans="1:25" ht="15" x14ac:dyDescent="0.25">
      <c r="A39" s="405" t="s">
        <v>285</v>
      </c>
      <c r="B39" s="407" t="s">
        <v>286</v>
      </c>
      <c r="M39" s="408"/>
      <c r="N39" s="408"/>
      <c r="O39" s="409"/>
      <c r="P39" s="409"/>
      <c r="Q39" s="409"/>
      <c r="R39" s="409"/>
      <c r="S39" s="409"/>
      <c r="T39" s="409"/>
      <c r="U39" s="409"/>
      <c r="V39" s="409"/>
      <c r="W39" s="409"/>
      <c r="X39" s="409"/>
      <c r="Y39" s="408"/>
    </row>
    <row r="40" spans="1:25" ht="15" x14ac:dyDescent="0.25">
      <c r="B40" s="432" t="s">
        <v>287</v>
      </c>
      <c r="C40" s="433">
        <f>C36</f>
        <v>7.3099999999999998E-2</v>
      </c>
      <c r="M40" s="408"/>
      <c r="N40" s="408"/>
      <c r="O40" s="409"/>
      <c r="P40" s="409"/>
      <c r="Q40" s="409"/>
      <c r="R40" s="409"/>
      <c r="S40" s="409"/>
      <c r="T40" s="409"/>
      <c r="U40" s="409"/>
      <c r="V40" s="409"/>
      <c r="W40" s="409"/>
      <c r="X40" s="409"/>
      <c r="Y40" s="408"/>
    </row>
    <row r="41" spans="1:25" x14ac:dyDescent="0.2">
      <c r="M41" s="408"/>
      <c r="N41" s="408"/>
      <c r="O41" s="409"/>
      <c r="P41" s="409"/>
      <c r="Q41" s="409"/>
      <c r="R41" s="409"/>
      <c r="S41" s="409"/>
      <c r="T41" s="409"/>
      <c r="U41" s="409"/>
      <c r="V41" s="409"/>
      <c r="W41" s="409"/>
      <c r="X41" s="409"/>
      <c r="Y41" s="408"/>
    </row>
    <row r="42" spans="1:25" x14ac:dyDescent="0.2">
      <c r="M42" s="408"/>
      <c r="N42" s="408"/>
      <c r="O42" s="408"/>
      <c r="P42" s="408"/>
      <c r="Q42" s="408"/>
      <c r="R42" s="408"/>
      <c r="S42" s="408"/>
      <c r="T42" s="408"/>
      <c r="U42" s="408"/>
      <c r="V42" s="408"/>
      <c r="W42" s="408"/>
      <c r="X42" s="408"/>
      <c r="Y42" s="408"/>
    </row>
    <row r="43" spans="1:25" x14ac:dyDescent="0.2">
      <c r="M43" s="408"/>
      <c r="N43" s="408"/>
      <c r="O43" s="408"/>
      <c r="P43" s="408"/>
      <c r="Q43" s="408"/>
      <c r="R43" s="408"/>
      <c r="S43" s="408"/>
      <c r="T43" s="408"/>
      <c r="U43" s="408"/>
      <c r="V43" s="408"/>
      <c r="W43" s="408"/>
      <c r="X43" s="408"/>
      <c r="Y43" s="408"/>
    </row>
    <row r="44" spans="1:25" x14ac:dyDescent="0.2">
      <c r="M44" s="408"/>
      <c r="N44" s="408"/>
      <c r="O44" s="408"/>
      <c r="P44" s="408"/>
      <c r="Q44" s="408"/>
      <c r="R44" s="408"/>
      <c r="S44" s="408"/>
      <c r="T44" s="408"/>
      <c r="U44" s="408"/>
      <c r="V44" s="408"/>
      <c r="W44" s="408"/>
      <c r="X44" s="408"/>
      <c r="Y44" s="408"/>
    </row>
    <row r="45" spans="1:25" x14ac:dyDescent="0.2">
      <c r="M45" s="408"/>
      <c r="N45" s="408"/>
      <c r="O45" s="408"/>
      <c r="P45" s="408"/>
      <c r="Q45" s="408"/>
      <c r="R45" s="408"/>
      <c r="S45" s="408"/>
      <c r="T45" s="408"/>
      <c r="U45" s="408"/>
      <c r="V45" s="408"/>
      <c r="W45" s="408"/>
      <c r="X45" s="408"/>
      <c r="Y45" s="408"/>
    </row>
    <row r="46" spans="1:25" x14ac:dyDescent="0.2">
      <c r="M46" s="408"/>
      <c r="N46" s="408"/>
      <c r="O46" s="408"/>
      <c r="P46" s="408"/>
      <c r="Q46" s="408"/>
      <c r="R46" s="408"/>
      <c r="S46" s="408"/>
      <c r="T46" s="408"/>
      <c r="U46" s="408"/>
      <c r="V46" s="408"/>
      <c r="W46" s="408"/>
      <c r="X46" s="408"/>
      <c r="Y46" s="408"/>
    </row>
  </sheetData>
  <sheetProtection password="E159" sheet="1"/>
  <mergeCells count="4">
    <mergeCell ref="K8:N8"/>
    <mergeCell ref="B33:D33"/>
    <mergeCell ref="B3:C3"/>
    <mergeCell ref="B4:C4"/>
  </mergeCells>
  <conditionalFormatting sqref="B32">
    <cfRule type="cellIs" dxfId="11" priority="3" stopIfTrue="1" operator="equal">
      <formula>$R$13</formula>
    </cfRule>
    <cfRule type="cellIs" dxfId="10" priority="5" stopIfTrue="1" operator="equal">
      <formula>$R$14</formula>
    </cfRule>
    <cfRule type="cellIs" dxfId="9" priority="6" stopIfTrue="1" operator="equal">
      <formula>$R$12</formula>
    </cfRule>
    <cfRule type="cellIs" dxfId="8" priority="7" stopIfTrue="1" operator="equal">
      <formula>$R$11</formula>
    </cfRule>
  </conditionalFormatting>
  <conditionalFormatting sqref="C32">
    <cfRule type="cellIs" dxfId="7" priority="2" stopIfTrue="1" operator="equal">
      <formula>$S$13</formula>
    </cfRule>
    <cfRule type="cellIs" dxfId="6" priority="8" stopIfTrue="1" operator="equal">
      <formula>$S$14</formula>
    </cfRule>
    <cfRule type="cellIs" dxfId="5" priority="9" stopIfTrue="1" operator="equal">
      <formula>$S$12</formula>
    </cfRule>
    <cfRule type="cellIs" dxfId="4" priority="10" stopIfTrue="1" operator="equal">
      <formula>$S$11</formula>
    </cfRule>
  </conditionalFormatting>
  <conditionalFormatting sqref="D32">
    <cfRule type="cellIs" dxfId="3" priority="1" stopIfTrue="1" operator="equal">
      <formula>$T$13</formula>
    </cfRule>
    <cfRule type="cellIs" dxfId="2" priority="11" stopIfTrue="1" operator="equal">
      <formula>$T$14</formula>
    </cfRule>
    <cfRule type="cellIs" dxfId="1" priority="12" stopIfTrue="1" operator="equal">
      <formula>$T$12</formula>
    </cfRule>
    <cfRule type="cellIs" dxfId="0" priority="13" stopIfTrue="1" operator="equal">
      <formula>$T$11</formula>
    </cfRule>
  </conditionalFormatting>
  <conditionalFormatting sqref="O37:P37">
    <cfRule type="colorScale" priority="4">
      <colorScale>
        <cfvo type="min"/>
        <cfvo type="max"/>
        <color rgb="FFFF7128"/>
        <color rgb="FFFFEF9C"/>
      </colorScale>
    </cfRule>
  </conditionalFormatting>
  <pageMargins left="0.23622047244094491" right="0.23622047244094491" top="0.74803149606299213" bottom="0.74803149606299213" header="0.31496062992125984" footer="0.31496062992125984"/>
  <pageSetup paperSize="9" scale="9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4817" r:id="rId4" name="Drop Down 1">
              <controlPr defaultSize="0" autoLine="0" autoPict="0">
                <anchor moveWithCells="1">
                  <from>
                    <xdr:col>1</xdr:col>
                    <xdr:colOff>9525</xdr:colOff>
                    <xdr:row>28</xdr:row>
                    <xdr:rowOff>19050</xdr:rowOff>
                  </from>
                  <to>
                    <xdr:col>1</xdr:col>
                    <xdr:colOff>676275</xdr:colOff>
                    <xdr:row>29</xdr:row>
                    <xdr:rowOff>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ilha33">
    <tabColor theme="9" tint="0.39997558519241921"/>
  </sheetPr>
  <dimension ref="A1:O165"/>
  <sheetViews>
    <sheetView workbookViewId="0"/>
  </sheetViews>
  <sheetFormatPr defaultColWidth="11.42578125" defaultRowHeight="12.75" x14ac:dyDescent="0.2"/>
  <cols>
    <col min="1" max="1" width="11.42578125" style="21" customWidth="1"/>
    <col min="2" max="3" width="20.42578125" style="28" customWidth="1"/>
    <col min="4" max="4" width="30.5703125" style="28" customWidth="1"/>
    <col min="5" max="5" width="30" style="28" customWidth="1"/>
    <col min="6" max="6" width="25.5703125" style="28" customWidth="1"/>
    <col min="7" max="7" width="36.42578125" style="28" customWidth="1"/>
    <col min="8" max="8" width="26" style="28" customWidth="1"/>
    <col min="9" max="9" width="27.42578125" style="28" customWidth="1"/>
    <col min="10" max="10" width="34.85546875" style="28" customWidth="1"/>
    <col min="11" max="11" width="11.42578125" style="21" customWidth="1"/>
    <col min="12" max="12" width="11.42578125" style="28" customWidth="1"/>
    <col min="13" max="14" width="11.42578125" style="21" customWidth="1"/>
    <col min="15" max="15" width="30.28515625" style="21" customWidth="1"/>
    <col min="16" max="16384" width="11.42578125" style="21"/>
  </cols>
  <sheetData>
    <row r="1" spans="1:15" ht="13.5" thickBot="1" x14ac:dyDescent="0.25">
      <c r="A1" s="46" t="s">
        <v>905</v>
      </c>
    </row>
    <row r="2" spans="1:15" ht="15.75" thickBot="1" x14ac:dyDescent="0.25">
      <c r="B2" s="29"/>
      <c r="C2" s="29" t="s">
        <v>268</v>
      </c>
      <c r="D2" s="30" t="s">
        <v>288</v>
      </c>
      <c r="L2" s="872" t="s">
        <v>84</v>
      </c>
      <c r="M2" s="873"/>
      <c r="N2" s="873"/>
      <c r="O2" s="874"/>
    </row>
    <row r="3" spans="1:15" ht="15" x14ac:dyDescent="0.25">
      <c r="B3" s="29"/>
      <c r="C3" s="29"/>
      <c r="D3" s="30"/>
      <c r="L3" s="48"/>
      <c r="M3" s="22"/>
      <c r="N3" s="22"/>
      <c r="O3" s="23"/>
    </row>
    <row r="4" spans="1:15" ht="15" x14ac:dyDescent="0.25">
      <c r="L4" s="49"/>
      <c r="M4" s="1"/>
      <c r="N4" s="24" t="s">
        <v>82</v>
      </c>
      <c r="O4" s="25"/>
    </row>
    <row r="5" spans="1:15" ht="15" x14ac:dyDescent="0.25">
      <c r="B5" s="29"/>
      <c r="C5" s="29" t="s">
        <v>289</v>
      </c>
      <c r="D5" s="30" t="s">
        <v>424</v>
      </c>
      <c r="L5" s="49"/>
      <c r="M5" s="2"/>
      <c r="N5" s="24" t="s">
        <v>94</v>
      </c>
      <c r="O5" s="25"/>
    </row>
    <row r="6" spans="1:15" ht="15" x14ac:dyDescent="0.25">
      <c r="L6" s="49"/>
      <c r="M6" s="13"/>
      <c r="N6" s="24" t="s">
        <v>83</v>
      </c>
      <c r="O6" s="25"/>
    </row>
    <row r="7" spans="1:15" ht="29.25" customHeight="1" thickBot="1" x14ac:dyDescent="0.3">
      <c r="B7" s="31" t="s">
        <v>270</v>
      </c>
      <c r="C7" s="31" t="s">
        <v>290</v>
      </c>
      <c r="D7" s="31" t="s">
        <v>834</v>
      </c>
      <c r="E7" s="32" t="s">
        <v>291</v>
      </c>
      <c r="F7" s="32" t="s">
        <v>836</v>
      </c>
      <c r="G7" s="32" t="s">
        <v>849</v>
      </c>
      <c r="H7" s="32" t="s">
        <v>293</v>
      </c>
      <c r="I7" s="32" t="s">
        <v>848</v>
      </c>
      <c r="J7" s="32" t="s">
        <v>294</v>
      </c>
      <c r="L7" s="50"/>
      <c r="M7" s="26"/>
      <c r="N7" s="26"/>
      <c r="O7" s="27"/>
    </row>
    <row r="8" spans="1:15" ht="107.25" customHeight="1" x14ac:dyDescent="0.2">
      <c r="B8" s="33" t="s">
        <v>799</v>
      </c>
      <c r="C8" s="875" t="s">
        <v>295</v>
      </c>
      <c r="D8" s="33" t="s">
        <v>296</v>
      </c>
      <c r="E8" s="33" t="s">
        <v>297</v>
      </c>
      <c r="F8" s="33" t="s">
        <v>298</v>
      </c>
      <c r="G8" s="33" t="s">
        <v>299</v>
      </c>
      <c r="H8" s="33" t="s">
        <v>300</v>
      </c>
      <c r="I8" s="33" t="s">
        <v>301</v>
      </c>
      <c r="J8" s="1"/>
      <c r="K8" s="52">
        <v>1</v>
      </c>
      <c r="L8" s="53">
        <v>1</v>
      </c>
    </row>
    <row r="9" spans="1:15" ht="106.5" customHeight="1" x14ac:dyDescent="0.2">
      <c r="B9" s="33" t="s">
        <v>800</v>
      </c>
      <c r="C9" s="876"/>
      <c r="D9" s="33" t="s">
        <v>302</v>
      </c>
      <c r="E9" s="33" t="s">
        <v>303</v>
      </c>
      <c r="F9" s="33" t="s">
        <v>298</v>
      </c>
      <c r="G9" s="33" t="s">
        <v>304</v>
      </c>
      <c r="H9" s="33" t="s">
        <v>305</v>
      </c>
      <c r="I9" s="33" t="s">
        <v>306</v>
      </c>
      <c r="J9" s="1"/>
      <c r="K9" s="52">
        <v>2</v>
      </c>
      <c r="L9" s="53">
        <v>2</v>
      </c>
    </row>
    <row r="10" spans="1:15" ht="196.5" customHeight="1" x14ac:dyDescent="0.2">
      <c r="B10" s="33" t="s">
        <v>801</v>
      </c>
      <c r="C10" s="33" t="s">
        <v>789</v>
      </c>
      <c r="D10" s="33" t="s">
        <v>817</v>
      </c>
      <c r="E10" s="33" t="s">
        <v>818</v>
      </c>
      <c r="F10" s="33" t="s">
        <v>307</v>
      </c>
      <c r="G10" s="33" t="s">
        <v>308</v>
      </c>
      <c r="H10" s="33" t="s">
        <v>309</v>
      </c>
      <c r="I10" s="33" t="s">
        <v>310</v>
      </c>
      <c r="J10" s="1"/>
      <c r="K10" s="52">
        <v>3</v>
      </c>
      <c r="L10" s="53">
        <v>3</v>
      </c>
    </row>
    <row r="11" spans="1:15" ht="72" x14ac:dyDescent="0.2">
      <c r="B11" s="33" t="s">
        <v>835</v>
      </c>
      <c r="C11" s="877" t="s">
        <v>311</v>
      </c>
      <c r="D11" s="33" t="s">
        <v>819</v>
      </c>
      <c r="E11" s="33" t="s">
        <v>312</v>
      </c>
      <c r="F11" s="33" t="s">
        <v>313</v>
      </c>
      <c r="G11" s="33" t="s">
        <v>820</v>
      </c>
      <c r="H11" s="33" t="s">
        <v>821</v>
      </c>
      <c r="I11" s="33" t="s">
        <v>314</v>
      </c>
      <c r="J11" s="1"/>
      <c r="K11" s="52">
        <v>4</v>
      </c>
      <c r="L11" s="53">
        <v>4</v>
      </c>
    </row>
    <row r="12" spans="1:15" ht="123.75" customHeight="1" x14ac:dyDescent="0.2">
      <c r="B12" s="33" t="s">
        <v>803</v>
      </c>
      <c r="C12" s="878"/>
      <c r="D12" s="33" t="s">
        <v>315</v>
      </c>
      <c r="E12" s="33" t="s">
        <v>316</v>
      </c>
      <c r="F12" s="33" t="s">
        <v>317</v>
      </c>
      <c r="G12" s="33" t="s">
        <v>318</v>
      </c>
      <c r="H12" s="33" t="s">
        <v>319</v>
      </c>
      <c r="I12" s="33" t="s">
        <v>320</v>
      </c>
      <c r="J12" s="34"/>
      <c r="K12" s="52">
        <v>5</v>
      </c>
      <c r="L12" s="53">
        <v>5</v>
      </c>
    </row>
    <row r="13" spans="1:15" ht="163.5" customHeight="1" x14ac:dyDescent="0.2">
      <c r="B13" s="877" t="s">
        <v>804</v>
      </c>
      <c r="C13" s="875" t="s">
        <v>790</v>
      </c>
      <c r="D13" s="875" t="s">
        <v>822</v>
      </c>
      <c r="E13" s="877" t="s">
        <v>823</v>
      </c>
      <c r="F13" s="875" t="s">
        <v>321</v>
      </c>
      <c r="G13" s="875" t="s">
        <v>824</v>
      </c>
      <c r="H13" s="875" t="s">
        <v>825</v>
      </c>
      <c r="I13" s="875" t="s">
        <v>826</v>
      </c>
      <c r="J13" s="881"/>
      <c r="K13" s="884">
        <v>6</v>
      </c>
      <c r="L13" s="880">
        <v>6</v>
      </c>
    </row>
    <row r="14" spans="1:15" ht="39.75" customHeight="1" x14ac:dyDescent="0.2">
      <c r="B14" s="877"/>
      <c r="C14" s="879"/>
      <c r="D14" s="879"/>
      <c r="E14" s="878"/>
      <c r="F14" s="879"/>
      <c r="G14" s="879"/>
      <c r="H14" s="879"/>
      <c r="I14" s="879"/>
      <c r="J14" s="882"/>
      <c r="K14" s="884"/>
      <c r="L14" s="880"/>
    </row>
    <row r="15" spans="1:15" x14ac:dyDescent="0.2">
      <c r="B15" s="877"/>
      <c r="C15" s="879"/>
      <c r="D15" s="879"/>
      <c r="E15" s="878"/>
      <c r="F15" s="879"/>
      <c r="G15" s="879"/>
      <c r="H15" s="879"/>
      <c r="I15" s="879"/>
      <c r="J15" s="882"/>
      <c r="K15" s="884"/>
      <c r="L15" s="880"/>
    </row>
    <row r="16" spans="1:15" ht="34.5" customHeight="1" x14ac:dyDescent="0.2">
      <c r="B16" s="877"/>
      <c r="C16" s="879"/>
      <c r="D16" s="879"/>
      <c r="E16" s="878"/>
      <c r="F16" s="879"/>
      <c r="G16" s="879"/>
      <c r="H16" s="879"/>
      <c r="I16" s="879"/>
      <c r="J16" s="882"/>
      <c r="K16" s="884"/>
      <c r="L16" s="880"/>
    </row>
    <row r="17" spans="2:12" ht="22.5" customHeight="1" x14ac:dyDescent="0.2">
      <c r="B17" s="877"/>
      <c r="C17" s="879"/>
      <c r="D17" s="879"/>
      <c r="E17" s="878"/>
      <c r="F17" s="879"/>
      <c r="G17" s="879"/>
      <c r="H17" s="879"/>
      <c r="I17" s="879"/>
      <c r="J17" s="882"/>
      <c r="K17" s="884"/>
      <c r="L17" s="880"/>
    </row>
    <row r="18" spans="2:12" ht="72" customHeight="1" x14ac:dyDescent="0.2">
      <c r="B18" s="877"/>
      <c r="C18" s="876"/>
      <c r="D18" s="876"/>
      <c r="E18" s="878"/>
      <c r="F18" s="879"/>
      <c r="G18" s="876"/>
      <c r="H18" s="876"/>
      <c r="I18" s="876"/>
      <c r="J18" s="883"/>
      <c r="K18" s="884"/>
      <c r="L18" s="880"/>
    </row>
    <row r="19" spans="2:12" ht="96" customHeight="1" x14ac:dyDescent="0.2">
      <c r="B19" s="33" t="s">
        <v>805</v>
      </c>
      <c r="C19" s="33" t="s">
        <v>370</v>
      </c>
      <c r="D19" s="33" t="s">
        <v>827</v>
      </c>
      <c r="E19" s="51" t="s">
        <v>828</v>
      </c>
      <c r="F19" s="879"/>
      <c r="G19" s="33" t="s">
        <v>322</v>
      </c>
      <c r="H19" s="33" t="s">
        <v>323</v>
      </c>
      <c r="I19" s="33" t="s">
        <v>324</v>
      </c>
      <c r="J19" s="35"/>
      <c r="K19" s="52">
        <v>8</v>
      </c>
      <c r="L19" s="53">
        <v>7</v>
      </c>
    </row>
    <row r="20" spans="2:12" ht="135" customHeight="1" x14ac:dyDescent="0.2">
      <c r="B20" s="33" t="s">
        <v>806</v>
      </c>
      <c r="C20" s="33" t="s">
        <v>829</v>
      </c>
      <c r="D20" s="33" t="s">
        <v>785</v>
      </c>
      <c r="E20" s="33" t="s">
        <v>325</v>
      </c>
      <c r="F20" s="876"/>
      <c r="G20" s="33" t="s">
        <v>322</v>
      </c>
      <c r="H20" s="33" t="s">
        <v>326</v>
      </c>
      <c r="I20" s="33" t="s">
        <v>327</v>
      </c>
      <c r="J20" s="35"/>
      <c r="K20" s="52">
        <v>9</v>
      </c>
      <c r="L20" s="53">
        <v>8</v>
      </c>
    </row>
    <row r="21" spans="2:12" ht="163.5" customHeight="1" x14ac:dyDescent="0.2">
      <c r="B21" s="33" t="s">
        <v>807</v>
      </c>
      <c r="C21" s="877" t="s">
        <v>328</v>
      </c>
      <c r="D21" s="33" t="s">
        <v>329</v>
      </c>
      <c r="E21" s="33" t="s">
        <v>330</v>
      </c>
      <c r="F21" s="33" t="s">
        <v>837</v>
      </c>
      <c r="G21" s="875" t="s">
        <v>830</v>
      </c>
      <c r="H21" s="875" t="s">
        <v>331</v>
      </c>
      <c r="I21" s="875" t="s">
        <v>332</v>
      </c>
      <c r="J21" s="35"/>
      <c r="K21" s="52">
        <v>10</v>
      </c>
      <c r="L21" s="53">
        <v>9</v>
      </c>
    </row>
    <row r="22" spans="2:12" ht="336.75" customHeight="1" x14ac:dyDescent="0.2">
      <c r="B22" s="33" t="s">
        <v>808</v>
      </c>
      <c r="C22" s="877"/>
      <c r="D22" s="33" t="s">
        <v>333</v>
      </c>
      <c r="E22" s="36" t="s">
        <v>334</v>
      </c>
      <c r="F22" s="51" t="s">
        <v>335</v>
      </c>
      <c r="G22" s="876"/>
      <c r="H22" s="876"/>
      <c r="I22" s="876"/>
      <c r="J22" s="35"/>
      <c r="K22" s="52">
        <v>11</v>
      </c>
      <c r="L22" s="53">
        <v>10</v>
      </c>
    </row>
    <row r="23" spans="2:12" ht="159" customHeight="1" x14ac:dyDescent="0.2">
      <c r="B23" s="33" t="s">
        <v>809</v>
      </c>
      <c r="C23" s="877"/>
      <c r="D23" s="33" t="s">
        <v>831</v>
      </c>
      <c r="E23" s="33" t="s">
        <v>336</v>
      </c>
      <c r="F23" s="33" t="s">
        <v>832</v>
      </c>
      <c r="G23" s="33" t="s">
        <v>337</v>
      </c>
      <c r="H23" s="33" t="s">
        <v>338</v>
      </c>
      <c r="I23" s="33" t="s">
        <v>339</v>
      </c>
      <c r="J23" s="34"/>
      <c r="K23" s="52">
        <v>12</v>
      </c>
      <c r="L23" s="53">
        <v>11</v>
      </c>
    </row>
    <row r="24" spans="2:12" ht="150" customHeight="1" x14ac:dyDescent="0.2">
      <c r="B24" s="33" t="s">
        <v>810</v>
      </c>
      <c r="C24" s="877" t="s">
        <v>340</v>
      </c>
      <c r="D24" s="33" t="s">
        <v>341</v>
      </c>
      <c r="E24" s="33" t="s">
        <v>342</v>
      </c>
      <c r="F24" s="37" t="s">
        <v>837</v>
      </c>
      <c r="G24" s="885" t="s">
        <v>343</v>
      </c>
      <c r="H24" s="886"/>
      <c r="I24" s="887"/>
      <c r="J24" s="34"/>
      <c r="K24" s="52">
        <v>13</v>
      </c>
      <c r="L24" s="53">
        <v>12</v>
      </c>
    </row>
    <row r="25" spans="2:12" ht="129" customHeight="1" x14ac:dyDescent="0.2">
      <c r="B25" s="33" t="s">
        <v>811</v>
      </c>
      <c r="C25" s="877"/>
      <c r="D25" s="33" t="s">
        <v>344</v>
      </c>
      <c r="E25" s="33" t="s">
        <v>345</v>
      </c>
      <c r="F25" s="33" t="s">
        <v>317</v>
      </c>
      <c r="G25" s="33" t="s">
        <v>346</v>
      </c>
      <c r="H25" s="33" t="s">
        <v>347</v>
      </c>
      <c r="I25" s="33" t="s">
        <v>348</v>
      </c>
      <c r="J25" s="34"/>
      <c r="K25" s="52">
        <v>15</v>
      </c>
      <c r="L25" s="53">
        <v>13</v>
      </c>
    </row>
    <row r="26" spans="2:12" ht="105.75" customHeight="1" x14ac:dyDescent="0.2">
      <c r="B26" s="33" t="s">
        <v>812</v>
      </c>
      <c r="C26" s="877"/>
      <c r="D26" s="33" t="s">
        <v>349</v>
      </c>
      <c r="E26" s="33" t="s">
        <v>350</v>
      </c>
      <c r="F26" s="33" t="s">
        <v>837</v>
      </c>
      <c r="G26" s="33" t="s">
        <v>351</v>
      </c>
      <c r="H26" s="33" t="s">
        <v>352</v>
      </c>
      <c r="I26" s="33" t="s">
        <v>353</v>
      </c>
      <c r="J26" s="34"/>
      <c r="K26" s="52">
        <v>16</v>
      </c>
      <c r="L26" s="53">
        <v>14</v>
      </c>
    </row>
    <row r="27" spans="2:12" ht="108" x14ac:dyDescent="0.2">
      <c r="B27" s="33" t="s">
        <v>813</v>
      </c>
      <c r="C27" s="877" t="s">
        <v>354</v>
      </c>
      <c r="D27" s="33" t="s">
        <v>833</v>
      </c>
      <c r="E27" s="33" t="s">
        <v>355</v>
      </c>
      <c r="F27" s="33" t="s">
        <v>356</v>
      </c>
      <c r="G27" s="33" t="s">
        <v>357</v>
      </c>
      <c r="H27" s="33" t="s">
        <v>358</v>
      </c>
      <c r="I27" s="33" t="s">
        <v>359</v>
      </c>
      <c r="J27" s="34"/>
      <c r="K27" s="52">
        <v>18</v>
      </c>
      <c r="L27" s="53">
        <v>15</v>
      </c>
    </row>
    <row r="28" spans="2:12" ht="69.75" customHeight="1" x14ac:dyDescent="0.2">
      <c r="B28" s="33" t="s">
        <v>814</v>
      </c>
      <c r="C28" s="878"/>
      <c r="D28" s="33" t="s">
        <v>360</v>
      </c>
      <c r="E28" s="33" t="s">
        <v>361</v>
      </c>
      <c r="F28" s="33" t="s">
        <v>837</v>
      </c>
      <c r="G28" s="885" t="s">
        <v>362</v>
      </c>
      <c r="H28" s="886"/>
      <c r="I28" s="887"/>
      <c r="J28" s="34"/>
      <c r="K28" s="52">
        <v>19</v>
      </c>
      <c r="L28" s="53">
        <v>16</v>
      </c>
    </row>
    <row r="29" spans="2:12" ht="108" customHeight="1" x14ac:dyDescent="0.2">
      <c r="B29" s="33" t="s">
        <v>815</v>
      </c>
      <c r="C29" s="33" t="s">
        <v>364</v>
      </c>
      <c r="D29" s="33" t="s">
        <v>365</v>
      </c>
      <c r="E29" s="33" t="s">
        <v>366</v>
      </c>
      <c r="F29" s="33" t="s">
        <v>837</v>
      </c>
      <c r="G29" s="33" t="s">
        <v>367</v>
      </c>
      <c r="H29" s="33" t="s">
        <v>368</v>
      </c>
      <c r="I29" s="33" t="s">
        <v>363</v>
      </c>
      <c r="J29" s="34"/>
      <c r="K29" s="52">
        <v>24</v>
      </c>
      <c r="L29" s="53">
        <v>17</v>
      </c>
    </row>
    <row r="30" spans="2:12" x14ac:dyDescent="0.2">
      <c r="B30" s="449"/>
      <c r="C30" s="450"/>
      <c r="D30" s="450"/>
      <c r="E30" s="449"/>
      <c r="F30" s="38"/>
      <c r="G30" s="38"/>
      <c r="H30" s="38"/>
      <c r="I30" s="38"/>
    </row>
    <row r="31" spans="2:12" x14ac:dyDescent="0.2">
      <c r="B31" s="449"/>
      <c r="C31" s="888">
        <v>1</v>
      </c>
      <c r="D31" s="450" t="s">
        <v>799</v>
      </c>
      <c r="E31" s="451"/>
      <c r="F31" s="38"/>
      <c r="G31" s="38"/>
      <c r="H31" s="38"/>
      <c r="I31" s="38"/>
    </row>
    <row r="32" spans="2:12" x14ac:dyDescent="0.2">
      <c r="B32" s="451"/>
      <c r="C32" s="888"/>
      <c r="D32" s="450" t="s">
        <v>369</v>
      </c>
      <c r="E32" s="451"/>
    </row>
    <row r="33" spans="2:5" x14ac:dyDescent="0.2">
      <c r="B33" s="451"/>
      <c r="C33" s="888"/>
      <c r="D33" s="450" t="s">
        <v>847</v>
      </c>
      <c r="E33" s="451"/>
    </row>
    <row r="34" spans="2:5" x14ac:dyDescent="0.2">
      <c r="B34" s="451"/>
      <c r="C34" s="888"/>
      <c r="D34" s="450" t="s">
        <v>853</v>
      </c>
      <c r="E34" s="451"/>
    </row>
    <row r="35" spans="2:5" x14ac:dyDescent="0.2">
      <c r="B35" s="451"/>
      <c r="C35" s="888"/>
      <c r="D35" s="450" t="s">
        <v>852</v>
      </c>
      <c r="E35" s="451"/>
    </row>
    <row r="36" spans="2:5" x14ac:dyDescent="0.2">
      <c r="B36" s="451"/>
      <c r="C36" s="888"/>
      <c r="D36" s="452">
        <v>3</v>
      </c>
      <c r="E36" s="451"/>
    </row>
    <row r="37" spans="2:5" x14ac:dyDescent="0.2">
      <c r="B37" s="451"/>
      <c r="C37" s="888">
        <v>2</v>
      </c>
      <c r="D37" s="450" t="s">
        <v>800</v>
      </c>
      <c r="E37" s="451"/>
    </row>
    <row r="38" spans="2:5" x14ac:dyDescent="0.2">
      <c r="B38" s="451"/>
      <c r="C38" s="888"/>
      <c r="D38" s="450" t="s">
        <v>369</v>
      </c>
      <c r="E38" s="451"/>
    </row>
    <row r="39" spans="2:5" x14ac:dyDescent="0.2">
      <c r="B39" s="451"/>
      <c r="C39" s="888"/>
      <c r="D39" s="450" t="s">
        <v>847</v>
      </c>
      <c r="E39" s="451"/>
    </row>
    <row r="40" spans="2:5" x14ac:dyDescent="0.2">
      <c r="B40" s="451"/>
      <c r="C40" s="888"/>
      <c r="D40" s="450" t="s">
        <v>853</v>
      </c>
      <c r="E40" s="451"/>
    </row>
    <row r="41" spans="2:5" x14ac:dyDescent="0.2">
      <c r="B41" s="451"/>
      <c r="C41" s="888"/>
      <c r="D41" s="450" t="s">
        <v>852</v>
      </c>
      <c r="E41" s="451"/>
    </row>
    <row r="42" spans="2:5" x14ac:dyDescent="0.2">
      <c r="B42" s="451"/>
      <c r="C42" s="888"/>
      <c r="D42" s="452">
        <v>3</v>
      </c>
      <c r="E42" s="451"/>
    </row>
    <row r="43" spans="2:5" ht="24" x14ac:dyDescent="0.2">
      <c r="B43" s="451"/>
      <c r="C43" s="888">
        <v>3</v>
      </c>
      <c r="D43" s="450" t="s">
        <v>801</v>
      </c>
      <c r="E43" s="451"/>
    </row>
    <row r="44" spans="2:5" x14ac:dyDescent="0.2">
      <c r="B44" s="451"/>
      <c r="C44" s="888"/>
      <c r="D44" s="450" t="s">
        <v>369</v>
      </c>
      <c r="E44" s="451"/>
    </row>
    <row r="45" spans="2:5" x14ac:dyDescent="0.2">
      <c r="B45" s="451"/>
      <c r="C45" s="888"/>
      <c r="D45" s="450" t="s">
        <v>847</v>
      </c>
      <c r="E45" s="451"/>
    </row>
    <row r="46" spans="2:5" x14ac:dyDescent="0.2">
      <c r="B46" s="451"/>
      <c r="C46" s="888"/>
      <c r="D46" s="450" t="s">
        <v>853</v>
      </c>
      <c r="E46" s="451"/>
    </row>
    <row r="47" spans="2:5" x14ac:dyDescent="0.2">
      <c r="B47" s="451"/>
      <c r="C47" s="888"/>
      <c r="D47" s="450" t="s">
        <v>852</v>
      </c>
      <c r="E47" s="451"/>
    </row>
    <row r="48" spans="2:5" x14ac:dyDescent="0.2">
      <c r="B48" s="451"/>
      <c r="C48" s="888"/>
      <c r="D48" s="452">
        <v>3</v>
      </c>
      <c r="E48" s="451"/>
    </row>
    <row r="49" spans="2:5" x14ac:dyDescent="0.2">
      <c r="B49" s="451"/>
      <c r="C49" s="888">
        <v>4</v>
      </c>
      <c r="D49" s="450" t="s">
        <v>835</v>
      </c>
      <c r="E49" s="451"/>
    </row>
    <row r="50" spans="2:5" x14ac:dyDescent="0.2">
      <c r="B50" s="451"/>
      <c r="C50" s="888"/>
      <c r="D50" s="450" t="s">
        <v>369</v>
      </c>
      <c r="E50" s="451"/>
    </row>
    <row r="51" spans="2:5" x14ac:dyDescent="0.2">
      <c r="B51" s="451"/>
      <c r="C51" s="888"/>
      <c r="D51" s="450" t="s">
        <v>847</v>
      </c>
      <c r="E51" s="451"/>
    </row>
    <row r="52" spans="2:5" x14ac:dyDescent="0.2">
      <c r="B52" s="451"/>
      <c r="C52" s="888"/>
      <c r="D52" s="450" t="s">
        <v>853</v>
      </c>
      <c r="E52" s="451"/>
    </row>
    <row r="53" spans="2:5" x14ac:dyDescent="0.2">
      <c r="B53" s="451"/>
      <c r="C53" s="888"/>
      <c r="D53" s="450" t="s">
        <v>852</v>
      </c>
      <c r="E53" s="451"/>
    </row>
    <row r="54" spans="2:5" x14ac:dyDescent="0.2">
      <c r="B54" s="451"/>
      <c r="C54" s="888"/>
      <c r="D54" s="452">
        <v>3</v>
      </c>
      <c r="E54" s="451"/>
    </row>
    <row r="55" spans="2:5" ht="24" x14ac:dyDescent="0.2">
      <c r="B55" s="451"/>
      <c r="C55" s="888">
        <v>5</v>
      </c>
      <c r="D55" s="450" t="s">
        <v>803</v>
      </c>
      <c r="E55" s="451"/>
    </row>
    <row r="56" spans="2:5" x14ac:dyDescent="0.2">
      <c r="B56" s="451"/>
      <c r="C56" s="888"/>
      <c r="D56" s="450" t="s">
        <v>369</v>
      </c>
      <c r="E56" s="451"/>
    </row>
    <row r="57" spans="2:5" x14ac:dyDescent="0.2">
      <c r="B57" s="451"/>
      <c r="C57" s="888"/>
      <c r="D57" s="450" t="s">
        <v>847</v>
      </c>
      <c r="E57" s="451"/>
    </row>
    <row r="58" spans="2:5" x14ac:dyDescent="0.2">
      <c r="B58" s="451"/>
      <c r="C58" s="888"/>
      <c r="D58" s="450" t="s">
        <v>853</v>
      </c>
      <c r="E58" s="451"/>
    </row>
    <row r="59" spans="2:5" x14ac:dyDescent="0.2">
      <c r="B59" s="451"/>
      <c r="C59" s="888"/>
      <c r="D59" s="450" t="s">
        <v>852</v>
      </c>
      <c r="E59" s="451"/>
    </row>
    <row r="60" spans="2:5" x14ac:dyDescent="0.2">
      <c r="B60" s="451"/>
      <c r="C60" s="888"/>
      <c r="D60" s="452">
        <v>3</v>
      </c>
      <c r="E60" s="451"/>
    </row>
    <row r="61" spans="2:5" x14ac:dyDescent="0.2">
      <c r="B61" s="451"/>
      <c r="C61" s="888">
        <v>6</v>
      </c>
      <c r="D61" s="453" t="s">
        <v>804</v>
      </c>
      <c r="E61" s="451"/>
    </row>
    <row r="62" spans="2:5" x14ac:dyDescent="0.2">
      <c r="B62" s="451"/>
      <c r="C62" s="888"/>
      <c r="D62" s="450" t="s">
        <v>369</v>
      </c>
      <c r="E62" s="451"/>
    </row>
    <row r="63" spans="2:5" x14ac:dyDescent="0.2">
      <c r="B63" s="451"/>
      <c r="C63" s="888"/>
      <c r="D63" s="450" t="s">
        <v>847</v>
      </c>
      <c r="E63" s="451"/>
    </row>
    <row r="64" spans="2:5" x14ac:dyDescent="0.2">
      <c r="B64" s="451"/>
      <c r="C64" s="888"/>
      <c r="D64" s="450" t="s">
        <v>853</v>
      </c>
      <c r="E64" s="451"/>
    </row>
    <row r="65" spans="2:5" x14ac:dyDescent="0.2">
      <c r="B65" s="451"/>
      <c r="C65" s="888"/>
      <c r="D65" s="450" t="s">
        <v>852</v>
      </c>
      <c r="E65" s="451"/>
    </row>
    <row r="66" spans="2:5" x14ac:dyDescent="0.2">
      <c r="B66" s="451"/>
      <c r="C66" s="888"/>
      <c r="D66" s="452">
        <v>3</v>
      </c>
      <c r="E66" s="451"/>
    </row>
    <row r="67" spans="2:5" x14ac:dyDescent="0.2">
      <c r="B67" s="451"/>
      <c r="C67" s="888">
        <v>7</v>
      </c>
      <c r="D67" s="450" t="s">
        <v>805</v>
      </c>
      <c r="E67" s="451"/>
    </row>
    <row r="68" spans="2:5" x14ac:dyDescent="0.2">
      <c r="B68" s="451"/>
      <c r="C68" s="888"/>
      <c r="D68" s="450" t="s">
        <v>369</v>
      </c>
      <c r="E68" s="451"/>
    </row>
    <row r="69" spans="2:5" x14ac:dyDescent="0.2">
      <c r="B69" s="451"/>
      <c r="C69" s="888"/>
      <c r="D69" s="450" t="s">
        <v>847</v>
      </c>
      <c r="E69" s="451"/>
    </row>
    <row r="70" spans="2:5" x14ac:dyDescent="0.2">
      <c r="B70" s="451"/>
      <c r="C70" s="888"/>
      <c r="D70" s="450" t="s">
        <v>853</v>
      </c>
      <c r="E70" s="451"/>
    </row>
    <row r="71" spans="2:5" x14ac:dyDescent="0.2">
      <c r="B71" s="451"/>
      <c r="C71" s="888"/>
      <c r="D71" s="450" t="s">
        <v>852</v>
      </c>
      <c r="E71" s="451"/>
    </row>
    <row r="72" spans="2:5" x14ac:dyDescent="0.2">
      <c r="B72" s="451"/>
      <c r="C72" s="888"/>
      <c r="D72" s="452">
        <v>3</v>
      </c>
      <c r="E72" s="451"/>
    </row>
    <row r="73" spans="2:5" x14ac:dyDescent="0.2">
      <c r="B73" s="451"/>
      <c r="C73" s="888">
        <v>8</v>
      </c>
      <c r="D73" s="450" t="s">
        <v>806</v>
      </c>
      <c r="E73" s="451"/>
    </row>
    <row r="74" spans="2:5" x14ac:dyDescent="0.2">
      <c r="B74" s="451"/>
      <c r="C74" s="888"/>
      <c r="D74" s="450" t="s">
        <v>369</v>
      </c>
      <c r="E74" s="451"/>
    </row>
    <row r="75" spans="2:5" x14ac:dyDescent="0.2">
      <c r="B75" s="451"/>
      <c r="C75" s="888"/>
      <c r="D75" s="450" t="s">
        <v>847</v>
      </c>
      <c r="E75" s="451"/>
    </row>
    <row r="76" spans="2:5" x14ac:dyDescent="0.2">
      <c r="B76" s="451"/>
      <c r="C76" s="888"/>
      <c r="D76" s="450" t="s">
        <v>853</v>
      </c>
      <c r="E76" s="451"/>
    </row>
    <row r="77" spans="2:5" x14ac:dyDescent="0.2">
      <c r="B77" s="451"/>
      <c r="C77" s="888"/>
      <c r="D77" s="450" t="s">
        <v>852</v>
      </c>
      <c r="E77" s="451"/>
    </row>
    <row r="78" spans="2:5" x14ac:dyDescent="0.2">
      <c r="B78" s="451"/>
      <c r="C78" s="888"/>
      <c r="D78" s="452">
        <v>3</v>
      </c>
      <c r="E78" s="451"/>
    </row>
    <row r="79" spans="2:5" x14ac:dyDescent="0.2">
      <c r="B79" s="451"/>
      <c r="C79" s="888">
        <v>9</v>
      </c>
      <c r="D79" s="450" t="s">
        <v>807</v>
      </c>
      <c r="E79" s="451"/>
    </row>
    <row r="80" spans="2:5" x14ac:dyDescent="0.2">
      <c r="B80" s="451"/>
      <c r="C80" s="888"/>
      <c r="D80" s="450" t="s">
        <v>369</v>
      </c>
      <c r="E80" s="451"/>
    </row>
    <row r="81" spans="2:5" x14ac:dyDescent="0.2">
      <c r="B81" s="451"/>
      <c r="C81" s="888"/>
      <c r="D81" s="450" t="s">
        <v>847</v>
      </c>
      <c r="E81" s="451"/>
    </row>
    <row r="82" spans="2:5" x14ac:dyDescent="0.2">
      <c r="B82" s="451"/>
      <c r="C82" s="888"/>
      <c r="D82" s="450" t="s">
        <v>853</v>
      </c>
      <c r="E82" s="451"/>
    </row>
    <row r="83" spans="2:5" x14ac:dyDescent="0.2">
      <c r="B83" s="451"/>
      <c r="C83" s="888"/>
      <c r="D83" s="450" t="s">
        <v>852</v>
      </c>
      <c r="E83" s="451"/>
    </row>
    <row r="84" spans="2:5" x14ac:dyDescent="0.2">
      <c r="B84" s="451"/>
      <c r="C84" s="888"/>
      <c r="D84" s="452">
        <v>3</v>
      </c>
      <c r="E84" s="451"/>
    </row>
    <row r="85" spans="2:5" x14ac:dyDescent="0.2">
      <c r="B85" s="451"/>
      <c r="C85" s="888">
        <v>10</v>
      </c>
      <c r="D85" s="450" t="s">
        <v>808</v>
      </c>
      <c r="E85" s="451"/>
    </row>
    <row r="86" spans="2:5" x14ac:dyDescent="0.2">
      <c r="B86" s="451"/>
      <c r="C86" s="888"/>
      <c r="D86" s="450" t="s">
        <v>369</v>
      </c>
      <c r="E86" s="451"/>
    </row>
    <row r="87" spans="2:5" x14ac:dyDescent="0.2">
      <c r="B87" s="451"/>
      <c r="C87" s="888"/>
      <c r="D87" s="450" t="s">
        <v>847</v>
      </c>
      <c r="E87" s="451"/>
    </row>
    <row r="88" spans="2:5" x14ac:dyDescent="0.2">
      <c r="B88" s="451"/>
      <c r="C88" s="888"/>
      <c r="D88" s="450" t="s">
        <v>853</v>
      </c>
      <c r="E88" s="451"/>
    </row>
    <row r="89" spans="2:5" x14ac:dyDescent="0.2">
      <c r="B89" s="451"/>
      <c r="C89" s="888"/>
      <c r="D89" s="450" t="s">
        <v>852</v>
      </c>
      <c r="E89" s="451"/>
    </row>
    <row r="90" spans="2:5" x14ac:dyDescent="0.2">
      <c r="B90" s="451"/>
      <c r="C90" s="888"/>
      <c r="D90" s="452">
        <v>3</v>
      </c>
      <c r="E90" s="451"/>
    </row>
    <row r="91" spans="2:5" ht="22.5" customHeight="1" x14ac:dyDescent="0.2">
      <c r="B91" s="451"/>
      <c r="C91" s="888">
        <v>11</v>
      </c>
      <c r="D91" s="450" t="s">
        <v>809</v>
      </c>
      <c r="E91" s="451"/>
    </row>
    <row r="92" spans="2:5" x14ac:dyDescent="0.2">
      <c r="B92" s="451"/>
      <c r="C92" s="888"/>
      <c r="D92" s="450" t="s">
        <v>369</v>
      </c>
      <c r="E92" s="451"/>
    </row>
    <row r="93" spans="2:5" x14ac:dyDescent="0.2">
      <c r="B93" s="451"/>
      <c r="C93" s="888"/>
      <c r="D93" s="450" t="s">
        <v>847</v>
      </c>
      <c r="E93" s="451"/>
    </row>
    <row r="94" spans="2:5" x14ac:dyDescent="0.2">
      <c r="B94" s="451"/>
      <c r="C94" s="888"/>
      <c r="D94" s="450" t="s">
        <v>853</v>
      </c>
      <c r="E94" s="451"/>
    </row>
    <row r="95" spans="2:5" x14ac:dyDescent="0.2">
      <c r="B95" s="451"/>
      <c r="C95" s="888"/>
      <c r="D95" s="450" t="s">
        <v>852</v>
      </c>
      <c r="E95" s="451"/>
    </row>
    <row r="96" spans="2:5" x14ac:dyDescent="0.2">
      <c r="B96" s="451"/>
      <c r="C96" s="888"/>
      <c r="D96" s="452">
        <v>3</v>
      </c>
      <c r="E96" s="451"/>
    </row>
    <row r="97" spans="2:5" x14ac:dyDescent="0.2">
      <c r="B97" s="451"/>
      <c r="C97" s="888">
        <v>12</v>
      </c>
      <c r="D97" s="450" t="s">
        <v>810</v>
      </c>
      <c r="E97" s="451"/>
    </row>
    <row r="98" spans="2:5" x14ac:dyDescent="0.2">
      <c r="B98" s="451"/>
      <c r="C98" s="888"/>
      <c r="D98" s="450" t="s">
        <v>369</v>
      </c>
      <c r="E98" s="451"/>
    </row>
    <row r="99" spans="2:5" x14ac:dyDescent="0.2">
      <c r="B99" s="451"/>
      <c r="C99" s="888"/>
      <c r="D99" s="450" t="s">
        <v>847</v>
      </c>
      <c r="E99" s="451"/>
    </row>
    <row r="100" spans="2:5" x14ac:dyDescent="0.2">
      <c r="B100" s="451"/>
      <c r="C100" s="888"/>
      <c r="D100" s="450" t="s">
        <v>853</v>
      </c>
      <c r="E100" s="451"/>
    </row>
    <row r="101" spans="2:5" x14ac:dyDescent="0.2">
      <c r="B101" s="451"/>
      <c r="C101" s="888"/>
      <c r="D101" s="450" t="s">
        <v>852</v>
      </c>
      <c r="E101" s="451"/>
    </row>
    <row r="102" spans="2:5" x14ac:dyDescent="0.2">
      <c r="B102" s="451"/>
      <c r="C102" s="888"/>
      <c r="D102" s="452">
        <v>3</v>
      </c>
      <c r="E102" s="451"/>
    </row>
    <row r="103" spans="2:5" ht="24" x14ac:dyDescent="0.2">
      <c r="B103" s="451"/>
      <c r="C103" s="888">
        <v>13</v>
      </c>
      <c r="D103" s="450" t="s">
        <v>811</v>
      </c>
      <c r="E103" s="451"/>
    </row>
    <row r="104" spans="2:5" x14ac:dyDescent="0.2">
      <c r="B104" s="451"/>
      <c r="C104" s="888"/>
      <c r="D104" s="450" t="s">
        <v>369</v>
      </c>
      <c r="E104" s="451"/>
    </row>
    <row r="105" spans="2:5" x14ac:dyDescent="0.2">
      <c r="B105" s="451"/>
      <c r="C105" s="888"/>
      <c r="D105" s="450" t="s">
        <v>847</v>
      </c>
      <c r="E105" s="451"/>
    </row>
    <row r="106" spans="2:5" x14ac:dyDescent="0.2">
      <c r="B106" s="451"/>
      <c r="C106" s="888"/>
      <c r="D106" s="450" t="s">
        <v>853</v>
      </c>
      <c r="E106" s="451"/>
    </row>
    <row r="107" spans="2:5" x14ac:dyDescent="0.2">
      <c r="B107" s="451"/>
      <c r="C107" s="888"/>
      <c r="D107" s="450" t="s">
        <v>852</v>
      </c>
      <c r="E107" s="451"/>
    </row>
    <row r="108" spans="2:5" x14ac:dyDescent="0.2">
      <c r="B108" s="451"/>
      <c r="C108" s="888"/>
      <c r="D108" s="452">
        <v>3</v>
      </c>
      <c r="E108" s="451"/>
    </row>
    <row r="109" spans="2:5" x14ac:dyDescent="0.2">
      <c r="B109" s="451"/>
      <c r="C109" s="888">
        <v>14</v>
      </c>
      <c r="D109" s="450" t="s">
        <v>812</v>
      </c>
      <c r="E109" s="451"/>
    </row>
    <row r="110" spans="2:5" x14ac:dyDescent="0.2">
      <c r="B110" s="451"/>
      <c r="C110" s="888"/>
      <c r="D110" s="450" t="s">
        <v>369</v>
      </c>
      <c r="E110" s="451"/>
    </row>
    <row r="111" spans="2:5" x14ac:dyDescent="0.2">
      <c r="B111" s="451"/>
      <c r="C111" s="888"/>
      <c r="D111" s="450" t="s">
        <v>847</v>
      </c>
      <c r="E111" s="451"/>
    </row>
    <row r="112" spans="2:5" x14ac:dyDescent="0.2">
      <c r="B112" s="451"/>
      <c r="C112" s="888"/>
      <c r="D112" s="450" t="s">
        <v>853</v>
      </c>
      <c r="E112" s="451"/>
    </row>
    <row r="113" spans="2:5" x14ac:dyDescent="0.2">
      <c r="B113" s="451"/>
      <c r="C113" s="888"/>
      <c r="D113" s="450" t="s">
        <v>852</v>
      </c>
      <c r="E113" s="451"/>
    </row>
    <row r="114" spans="2:5" x14ac:dyDescent="0.2">
      <c r="B114" s="451"/>
      <c r="C114" s="888"/>
      <c r="D114" s="452">
        <v>3</v>
      </c>
      <c r="E114" s="451"/>
    </row>
    <row r="115" spans="2:5" x14ac:dyDescent="0.2">
      <c r="B115" s="451"/>
      <c r="C115" s="888">
        <v>15</v>
      </c>
      <c r="D115" s="450" t="s">
        <v>813</v>
      </c>
      <c r="E115" s="451"/>
    </row>
    <row r="116" spans="2:5" x14ac:dyDescent="0.2">
      <c r="B116" s="451"/>
      <c r="C116" s="888"/>
      <c r="D116" s="450" t="s">
        <v>369</v>
      </c>
      <c r="E116" s="451"/>
    </row>
    <row r="117" spans="2:5" x14ac:dyDescent="0.2">
      <c r="B117" s="451"/>
      <c r="C117" s="888"/>
      <c r="D117" s="450" t="s">
        <v>847</v>
      </c>
      <c r="E117" s="451"/>
    </row>
    <row r="118" spans="2:5" x14ac:dyDescent="0.2">
      <c r="B118" s="451"/>
      <c r="C118" s="888"/>
      <c r="D118" s="450" t="s">
        <v>853</v>
      </c>
      <c r="E118" s="451"/>
    </row>
    <row r="119" spans="2:5" x14ac:dyDescent="0.2">
      <c r="B119" s="451"/>
      <c r="C119" s="888"/>
      <c r="D119" s="450" t="s">
        <v>852</v>
      </c>
      <c r="E119" s="451"/>
    </row>
    <row r="120" spans="2:5" x14ac:dyDescent="0.2">
      <c r="B120" s="451"/>
      <c r="C120" s="888"/>
      <c r="D120" s="452">
        <v>3</v>
      </c>
      <c r="E120" s="451"/>
    </row>
    <row r="121" spans="2:5" x14ac:dyDescent="0.2">
      <c r="B121" s="451"/>
      <c r="C121" s="888">
        <v>16</v>
      </c>
      <c r="D121" s="450" t="s">
        <v>814</v>
      </c>
      <c r="E121" s="451"/>
    </row>
    <row r="122" spans="2:5" x14ac:dyDescent="0.2">
      <c r="B122" s="451"/>
      <c r="C122" s="888"/>
      <c r="D122" s="450" t="s">
        <v>369</v>
      </c>
      <c r="E122" s="451"/>
    </row>
    <row r="123" spans="2:5" x14ac:dyDescent="0.2">
      <c r="B123" s="451"/>
      <c r="C123" s="888"/>
      <c r="D123" s="450" t="s">
        <v>847</v>
      </c>
      <c r="E123" s="451"/>
    </row>
    <row r="124" spans="2:5" x14ac:dyDescent="0.2">
      <c r="B124" s="451"/>
      <c r="C124" s="888"/>
      <c r="D124" s="450" t="s">
        <v>853</v>
      </c>
      <c r="E124" s="451"/>
    </row>
    <row r="125" spans="2:5" x14ac:dyDescent="0.2">
      <c r="B125" s="451"/>
      <c r="C125" s="888"/>
      <c r="D125" s="450" t="s">
        <v>852</v>
      </c>
      <c r="E125" s="451"/>
    </row>
    <row r="126" spans="2:5" x14ac:dyDescent="0.2">
      <c r="B126" s="451"/>
      <c r="C126" s="888"/>
      <c r="D126" s="452">
        <v>3</v>
      </c>
      <c r="E126" s="451"/>
    </row>
    <row r="127" spans="2:5" ht="24" x14ac:dyDescent="0.2">
      <c r="B127" s="451"/>
      <c r="C127" s="888">
        <v>17</v>
      </c>
      <c r="D127" s="450" t="s">
        <v>815</v>
      </c>
      <c r="E127" s="451"/>
    </row>
    <row r="128" spans="2:5" x14ac:dyDescent="0.2">
      <c r="B128" s="451"/>
      <c r="C128" s="888"/>
      <c r="D128" s="450" t="s">
        <v>369</v>
      </c>
      <c r="E128" s="451"/>
    </row>
    <row r="129" spans="2:5" x14ac:dyDescent="0.2">
      <c r="B129" s="451"/>
      <c r="C129" s="888"/>
      <c r="D129" s="450" t="s">
        <v>847</v>
      </c>
      <c r="E129" s="451"/>
    </row>
    <row r="130" spans="2:5" x14ac:dyDescent="0.2">
      <c r="B130" s="451"/>
      <c r="C130" s="888"/>
      <c r="D130" s="450" t="s">
        <v>853</v>
      </c>
      <c r="E130" s="451"/>
    </row>
    <row r="131" spans="2:5" x14ac:dyDescent="0.2">
      <c r="B131" s="451"/>
      <c r="C131" s="888"/>
      <c r="D131" s="450" t="s">
        <v>852</v>
      </c>
      <c r="E131" s="451"/>
    </row>
    <row r="132" spans="2:5" x14ac:dyDescent="0.2">
      <c r="B132" s="451"/>
      <c r="C132" s="888"/>
      <c r="D132" s="452">
        <v>3</v>
      </c>
      <c r="E132" s="451"/>
    </row>
    <row r="133" spans="2:5" x14ac:dyDescent="0.2">
      <c r="B133" s="451"/>
      <c r="C133" s="451"/>
      <c r="D133" s="451"/>
      <c r="E133" s="451"/>
    </row>
    <row r="134" spans="2:5" x14ac:dyDescent="0.2">
      <c r="B134" s="451"/>
      <c r="C134" s="451"/>
      <c r="D134" s="451"/>
      <c r="E134" s="451"/>
    </row>
    <row r="135" spans="2:5" x14ac:dyDescent="0.2">
      <c r="B135" s="451"/>
      <c r="C135" s="451"/>
      <c r="D135" s="451"/>
      <c r="E135" s="451"/>
    </row>
    <row r="136" spans="2:5" x14ac:dyDescent="0.2">
      <c r="B136" s="451"/>
      <c r="C136" s="451"/>
      <c r="D136" s="451"/>
      <c r="E136" s="451"/>
    </row>
    <row r="137" spans="2:5" x14ac:dyDescent="0.2">
      <c r="B137" s="451"/>
      <c r="C137" s="451"/>
      <c r="D137" s="451"/>
      <c r="E137" s="451"/>
    </row>
    <row r="138" spans="2:5" x14ac:dyDescent="0.2">
      <c r="B138" s="451"/>
      <c r="C138" s="451"/>
      <c r="D138" s="451"/>
      <c r="E138" s="451"/>
    </row>
    <row r="139" spans="2:5" x14ac:dyDescent="0.2">
      <c r="B139" s="451"/>
      <c r="C139" s="451"/>
      <c r="D139" s="451"/>
      <c r="E139" s="451"/>
    </row>
    <row r="140" spans="2:5" x14ac:dyDescent="0.2">
      <c r="B140" s="451"/>
      <c r="C140" s="451"/>
      <c r="D140" s="451"/>
      <c r="E140" s="451"/>
    </row>
    <row r="141" spans="2:5" x14ac:dyDescent="0.2">
      <c r="B141" s="451"/>
      <c r="C141" s="451"/>
      <c r="D141" s="451"/>
      <c r="E141" s="451"/>
    </row>
    <row r="142" spans="2:5" x14ac:dyDescent="0.2">
      <c r="B142" s="451"/>
      <c r="C142" s="451"/>
      <c r="D142" s="451"/>
      <c r="E142" s="451"/>
    </row>
    <row r="143" spans="2:5" x14ac:dyDescent="0.2">
      <c r="B143" s="451"/>
      <c r="C143" s="451"/>
      <c r="D143" s="451"/>
      <c r="E143" s="451"/>
    </row>
    <row r="144" spans="2:5" x14ac:dyDescent="0.2">
      <c r="B144" s="451"/>
      <c r="C144" s="451"/>
      <c r="D144" s="451"/>
      <c r="E144" s="451"/>
    </row>
    <row r="145" spans="2:5" x14ac:dyDescent="0.2">
      <c r="B145" s="451"/>
      <c r="C145" s="451"/>
      <c r="D145" s="451"/>
      <c r="E145" s="451"/>
    </row>
    <row r="146" spans="2:5" x14ac:dyDescent="0.2">
      <c r="B146" s="451"/>
      <c r="C146" s="451"/>
      <c r="D146" s="451"/>
      <c r="E146" s="451"/>
    </row>
    <row r="147" spans="2:5" x14ac:dyDescent="0.2">
      <c r="B147" s="451"/>
      <c r="C147" s="451"/>
      <c r="D147" s="451"/>
      <c r="E147" s="451"/>
    </row>
    <row r="148" spans="2:5" x14ac:dyDescent="0.2">
      <c r="B148" s="451"/>
      <c r="C148" s="451"/>
      <c r="D148" s="451"/>
      <c r="E148" s="451"/>
    </row>
    <row r="149" spans="2:5" x14ac:dyDescent="0.2">
      <c r="B149" s="451"/>
      <c r="C149" s="451"/>
      <c r="D149" s="451"/>
      <c r="E149" s="451"/>
    </row>
    <row r="150" spans="2:5" x14ac:dyDescent="0.2">
      <c r="B150" s="451"/>
      <c r="C150" s="451"/>
      <c r="D150" s="451"/>
      <c r="E150" s="451"/>
    </row>
    <row r="151" spans="2:5" x14ac:dyDescent="0.2">
      <c r="B151" s="451"/>
      <c r="C151" s="451"/>
      <c r="D151" s="451"/>
      <c r="E151" s="451"/>
    </row>
    <row r="152" spans="2:5" x14ac:dyDescent="0.2">
      <c r="B152" s="451"/>
      <c r="C152" s="451"/>
      <c r="D152" s="451"/>
      <c r="E152" s="451"/>
    </row>
    <row r="153" spans="2:5" x14ac:dyDescent="0.2">
      <c r="B153" s="451"/>
      <c r="C153" s="451"/>
      <c r="D153" s="451"/>
      <c r="E153" s="451"/>
    </row>
    <row r="154" spans="2:5" x14ac:dyDescent="0.2">
      <c r="B154" s="451"/>
      <c r="C154" s="451"/>
      <c r="D154" s="451"/>
      <c r="E154" s="451"/>
    </row>
    <row r="155" spans="2:5" x14ac:dyDescent="0.2">
      <c r="B155" s="451"/>
      <c r="C155" s="451"/>
      <c r="D155" s="451"/>
      <c r="E155" s="451"/>
    </row>
    <row r="156" spans="2:5" x14ac:dyDescent="0.2">
      <c r="B156" s="451"/>
      <c r="C156" s="451"/>
      <c r="D156" s="451"/>
      <c r="E156" s="451"/>
    </row>
    <row r="157" spans="2:5" x14ac:dyDescent="0.2">
      <c r="B157" s="451"/>
      <c r="C157" s="451"/>
      <c r="D157" s="451"/>
      <c r="E157" s="451"/>
    </row>
    <row r="158" spans="2:5" x14ac:dyDescent="0.2">
      <c r="B158" s="451"/>
      <c r="C158" s="451"/>
      <c r="D158" s="451"/>
      <c r="E158" s="451"/>
    </row>
    <row r="159" spans="2:5" x14ac:dyDescent="0.2">
      <c r="B159" s="451"/>
      <c r="C159" s="451"/>
      <c r="D159" s="451"/>
      <c r="E159" s="451"/>
    </row>
    <row r="160" spans="2:5" x14ac:dyDescent="0.2">
      <c r="B160" s="451"/>
      <c r="C160" s="451"/>
      <c r="D160" s="451"/>
      <c r="E160" s="451"/>
    </row>
    <row r="161" spans="2:5" x14ac:dyDescent="0.2">
      <c r="B161" s="451"/>
      <c r="C161" s="451"/>
      <c r="D161" s="451"/>
      <c r="E161" s="451"/>
    </row>
    <row r="162" spans="2:5" x14ac:dyDescent="0.2">
      <c r="B162" s="451"/>
      <c r="C162" s="451"/>
      <c r="D162" s="451"/>
      <c r="E162" s="451"/>
    </row>
    <row r="163" spans="2:5" x14ac:dyDescent="0.2">
      <c r="B163" s="451"/>
      <c r="C163" s="451"/>
      <c r="D163" s="451"/>
      <c r="E163" s="451"/>
    </row>
    <row r="164" spans="2:5" x14ac:dyDescent="0.2">
      <c r="B164" s="451"/>
      <c r="C164" s="451"/>
      <c r="D164" s="451"/>
      <c r="E164" s="451"/>
    </row>
    <row r="165" spans="2:5" x14ac:dyDescent="0.2">
      <c r="B165" s="451"/>
      <c r="C165" s="451"/>
      <c r="D165" s="451"/>
      <c r="E165" s="451"/>
    </row>
  </sheetData>
  <sheetProtection password="E159" sheet="1"/>
  <mergeCells count="39">
    <mergeCell ref="C127:C132"/>
    <mergeCell ref="C79:C84"/>
    <mergeCell ref="C85:C90"/>
    <mergeCell ref="C91:C96"/>
    <mergeCell ref="C97:C102"/>
    <mergeCell ref="C103:C108"/>
    <mergeCell ref="C109:C114"/>
    <mergeCell ref="C61:C66"/>
    <mergeCell ref="C67:C72"/>
    <mergeCell ref="C73:C78"/>
    <mergeCell ref="C115:C120"/>
    <mergeCell ref="C121:C126"/>
    <mergeCell ref="C31:C36"/>
    <mergeCell ref="C37:C42"/>
    <mergeCell ref="C43:C48"/>
    <mergeCell ref="C49:C54"/>
    <mergeCell ref="C55:C60"/>
    <mergeCell ref="G21:G22"/>
    <mergeCell ref="I13:I18"/>
    <mergeCell ref="G13:G18"/>
    <mergeCell ref="B13:B18"/>
    <mergeCell ref="C27:C28"/>
    <mergeCell ref="G28:I28"/>
    <mergeCell ref="C21:C23"/>
    <mergeCell ref="H21:H22"/>
    <mergeCell ref="I21:I22"/>
    <mergeCell ref="C13:C18"/>
    <mergeCell ref="D13:D18"/>
    <mergeCell ref="C24:C26"/>
    <mergeCell ref="G24:I24"/>
    <mergeCell ref="H13:H18"/>
    <mergeCell ref="L2:O2"/>
    <mergeCell ref="C8:C9"/>
    <mergeCell ref="C11:C12"/>
    <mergeCell ref="F13:F20"/>
    <mergeCell ref="E13:E18"/>
    <mergeCell ref="L13:L18"/>
    <mergeCell ref="J13:J18"/>
    <mergeCell ref="K13:K18"/>
  </mergeCells>
  <pageMargins left="0.511811024" right="0.511811024" top="0.78740157499999996" bottom="0.78740157499999996" header="0.31496062000000002" footer="0.31496062000000002"/>
  <pageSetup paperSize="9" orientation="portrait" horizontalDpi="4294967293" verticalDpi="4294967293" r:id="rId1"/>
  <drawing r:id="rId2"/>
  <legacyDrawing r:id="rId3"/>
  <mc:AlternateContent xmlns:mc="http://schemas.openxmlformats.org/markup-compatibility/2006">
    <mc:Choice Requires="x14">
      <controls>
        <mc:AlternateContent xmlns:mc="http://schemas.openxmlformats.org/markup-compatibility/2006">
          <mc:Choice Requires="x14">
            <control shapeId="35841" r:id="rId4" name="Drop Down 1">
              <controlPr defaultSize="0" autoLine="0" autoPict="0">
                <anchor moveWithCells="1" sizeWithCells="1">
                  <from>
                    <xdr:col>9</xdr:col>
                    <xdr:colOff>9525</xdr:colOff>
                    <xdr:row>7</xdr:row>
                    <xdr:rowOff>685800</xdr:rowOff>
                  </from>
                  <to>
                    <xdr:col>10</xdr:col>
                    <xdr:colOff>28575</xdr:colOff>
                    <xdr:row>7</xdr:row>
                    <xdr:rowOff>895350</xdr:rowOff>
                  </to>
                </anchor>
              </controlPr>
            </control>
          </mc:Choice>
        </mc:AlternateContent>
        <mc:AlternateContent xmlns:mc="http://schemas.openxmlformats.org/markup-compatibility/2006">
          <mc:Choice Requires="x14">
            <control shapeId="35842" r:id="rId5" name="Drop Down 2">
              <controlPr defaultSize="0" autoLine="0" autoPict="0">
                <anchor moveWithCells="1" sizeWithCells="1">
                  <from>
                    <xdr:col>9</xdr:col>
                    <xdr:colOff>9525</xdr:colOff>
                    <xdr:row>8</xdr:row>
                    <xdr:rowOff>685800</xdr:rowOff>
                  </from>
                  <to>
                    <xdr:col>10</xdr:col>
                    <xdr:colOff>28575</xdr:colOff>
                    <xdr:row>8</xdr:row>
                    <xdr:rowOff>895350</xdr:rowOff>
                  </to>
                </anchor>
              </controlPr>
            </control>
          </mc:Choice>
        </mc:AlternateContent>
        <mc:AlternateContent xmlns:mc="http://schemas.openxmlformats.org/markup-compatibility/2006">
          <mc:Choice Requires="x14">
            <control shapeId="35843" r:id="rId6" name="Drop Down 3">
              <controlPr defaultSize="0" autoLine="0" autoPict="0">
                <anchor moveWithCells="1" sizeWithCells="1">
                  <from>
                    <xdr:col>9</xdr:col>
                    <xdr:colOff>9525</xdr:colOff>
                    <xdr:row>9</xdr:row>
                    <xdr:rowOff>685800</xdr:rowOff>
                  </from>
                  <to>
                    <xdr:col>10</xdr:col>
                    <xdr:colOff>28575</xdr:colOff>
                    <xdr:row>9</xdr:row>
                    <xdr:rowOff>895350</xdr:rowOff>
                  </to>
                </anchor>
              </controlPr>
            </control>
          </mc:Choice>
        </mc:AlternateContent>
        <mc:AlternateContent xmlns:mc="http://schemas.openxmlformats.org/markup-compatibility/2006">
          <mc:Choice Requires="x14">
            <control shapeId="35844" r:id="rId7" name="Drop Down 4">
              <controlPr defaultSize="0" autoLine="0" autoPict="0">
                <anchor moveWithCells="1" sizeWithCells="1">
                  <from>
                    <xdr:col>9</xdr:col>
                    <xdr:colOff>9525</xdr:colOff>
                    <xdr:row>11</xdr:row>
                    <xdr:rowOff>685800</xdr:rowOff>
                  </from>
                  <to>
                    <xdr:col>10</xdr:col>
                    <xdr:colOff>28575</xdr:colOff>
                    <xdr:row>11</xdr:row>
                    <xdr:rowOff>895350</xdr:rowOff>
                  </to>
                </anchor>
              </controlPr>
            </control>
          </mc:Choice>
        </mc:AlternateContent>
        <mc:AlternateContent xmlns:mc="http://schemas.openxmlformats.org/markup-compatibility/2006">
          <mc:Choice Requires="x14">
            <control shapeId="35845" r:id="rId8" name="Drop Down 5">
              <controlPr defaultSize="0" autoLine="0" autoPict="0">
                <anchor moveWithCells="1" sizeWithCells="1">
                  <from>
                    <xdr:col>9</xdr:col>
                    <xdr:colOff>9525</xdr:colOff>
                    <xdr:row>10</xdr:row>
                    <xdr:rowOff>200025</xdr:rowOff>
                  </from>
                  <to>
                    <xdr:col>10</xdr:col>
                    <xdr:colOff>28575</xdr:colOff>
                    <xdr:row>10</xdr:row>
                    <xdr:rowOff>333375</xdr:rowOff>
                  </to>
                </anchor>
              </controlPr>
            </control>
          </mc:Choice>
        </mc:AlternateContent>
        <mc:AlternateContent xmlns:mc="http://schemas.openxmlformats.org/markup-compatibility/2006">
          <mc:Choice Requires="x14">
            <control shapeId="35846" r:id="rId9" name="Drop Down 6">
              <controlPr defaultSize="0" autoLine="0" autoPict="0">
                <anchor moveWithCells="1" sizeWithCells="1">
                  <from>
                    <xdr:col>9</xdr:col>
                    <xdr:colOff>9525</xdr:colOff>
                    <xdr:row>13</xdr:row>
                    <xdr:rowOff>9525</xdr:rowOff>
                  </from>
                  <to>
                    <xdr:col>10</xdr:col>
                    <xdr:colOff>28575</xdr:colOff>
                    <xdr:row>13</xdr:row>
                    <xdr:rowOff>200025</xdr:rowOff>
                  </to>
                </anchor>
              </controlPr>
            </control>
          </mc:Choice>
        </mc:AlternateContent>
        <mc:AlternateContent xmlns:mc="http://schemas.openxmlformats.org/markup-compatibility/2006">
          <mc:Choice Requires="x14">
            <control shapeId="35848" r:id="rId10" name="Drop Down 8">
              <controlPr defaultSize="0" autoLine="0" autoPict="0">
                <anchor moveWithCells="1" sizeWithCells="1">
                  <from>
                    <xdr:col>9</xdr:col>
                    <xdr:colOff>9525</xdr:colOff>
                    <xdr:row>23</xdr:row>
                    <xdr:rowOff>190500</xdr:rowOff>
                  </from>
                  <to>
                    <xdr:col>10</xdr:col>
                    <xdr:colOff>28575</xdr:colOff>
                    <xdr:row>23</xdr:row>
                    <xdr:rowOff>381000</xdr:rowOff>
                  </to>
                </anchor>
              </controlPr>
            </control>
          </mc:Choice>
        </mc:AlternateContent>
        <mc:AlternateContent xmlns:mc="http://schemas.openxmlformats.org/markup-compatibility/2006">
          <mc:Choice Requires="x14">
            <control shapeId="35850" r:id="rId11" name="Drop Down 10">
              <controlPr defaultSize="0" autoLine="0" autoPict="0">
                <anchor moveWithCells="1" sizeWithCells="1">
                  <from>
                    <xdr:col>9</xdr:col>
                    <xdr:colOff>9525</xdr:colOff>
                    <xdr:row>24</xdr:row>
                    <xdr:rowOff>361950</xdr:rowOff>
                  </from>
                  <to>
                    <xdr:col>10</xdr:col>
                    <xdr:colOff>28575</xdr:colOff>
                    <xdr:row>24</xdr:row>
                    <xdr:rowOff>571500</xdr:rowOff>
                  </to>
                </anchor>
              </controlPr>
            </control>
          </mc:Choice>
        </mc:AlternateContent>
        <mc:AlternateContent xmlns:mc="http://schemas.openxmlformats.org/markup-compatibility/2006">
          <mc:Choice Requires="x14">
            <control shapeId="35852" r:id="rId12" name="Drop Down 12">
              <controlPr defaultSize="0" autoLine="0" autoPict="0">
                <anchor moveWithCells="1" sizeWithCells="1">
                  <from>
                    <xdr:col>9</xdr:col>
                    <xdr:colOff>9525</xdr:colOff>
                    <xdr:row>25</xdr:row>
                    <xdr:rowOff>381000</xdr:rowOff>
                  </from>
                  <to>
                    <xdr:col>10</xdr:col>
                    <xdr:colOff>28575</xdr:colOff>
                    <xdr:row>25</xdr:row>
                    <xdr:rowOff>590550</xdr:rowOff>
                  </to>
                </anchor>
              </controlPr>
            </control>
          </mc:Choice>
        </mc:AlternateContent>
        <mc:AlternateContent xmlns:mc="http://schemas.openxmlformats.org/markup-compatibility/2006">
          <mc:Choice Requires="x14">
            <control shapeId="35853" r:id="rId13" name="Drop Down 13">
              <controlPr defaultSize="0" autoLine="0" autoPict="0">
                <anchor moveWithCells="1" sizeWithCells="1">
                  <from>
                    <xdr:col>9</xdr:col>
                    <xdr:colOff>9525</xdr:colOff>
                    <xdr:row>27</xdr:row>
                    <xdr:rowOff>171450</xdr:rowOff>
                  </from>
                  <to>
                    <xdr:col>10</xdr:col>
                    <xdr:colOff>28575</xdr:colOff>
                    <xdr:row>27</xdr:row>
                    <xdr:rowOff>381000</xdr:rowOff>
                  </to>
                </anchor>
              </controlPr>
            </control>
          </mc:Choice>
        </mc:AlternateContent>
        <mc:AlternateContent xmlns:mc="http://schemas.openxmlformats.org/markup-compatibility/2006">
          <mc:Choice Requires="x14">
            <control shapeId="35858" r:id="rId14" name="Drop Down 18">
              <controlPr defaultSize="0" autoLine="0" autoPict="0">
                <anchor moveWithCells="1" sizeWithCells="1">
                  <from>
                    <xdr:col>9</xdr:col>
                    <xdr:colOff>9525</xdr:colOff>
                    <xdr:row>28</xdr:row>
                    <xdr:rowOff>323850</xdr:rowOff>
                  </from>
                  <to>
                    <xdr:col>10</xdr:col>
                    <xdr:colOff>28575</xdr:colOff>
                    <xdr:row>28</xdr:row>
                    <xdr:rowOff>533400</xdr:rowOff>
                  </to>
                </anchor>
              </controlPr>
            </control>
          </mc:Choice>
        </mc:AlternateContent>
        <mc:AlternateContent xmlns:mc="http://schemas.openxmlformats.org/markup-compatibility/2006">
          <mc:Choice Requires="x14">
            <control shapeId="35860" r:id="rId15" name="Drop Down 20">
              <controlPr defaultSize="0" autoLine="0" autoPict="0">
                <anchor moveWithCells="1" sizeWithCells="1">
                  <from>
                    <xdr:col>9</xdr:col>
                    <xdr:colOff>9525</xdr:colOff>
                    <xdr:row>18</xdr:row>
                    <xdr:rowOff>323850</xdr:rowOff>
                  </from>
                  <to>
                    <xdr:col>10</xdr:col>
                    <xdr:colOff>28575</xdr:colOff>
                    <xdr:row>18</xdr:row>
                    <xdr:rowOff>533400</xdr:rowOff>
                  </to>
                </anchor>
              </controlPr>
            </control>
          </mc:Choice>
        </mc:AlternateContent>
        <mc:AlternateContent xmlns:mc="http://schemas.openxmlformats.org/markup-compatibility/2006">
          <mc:Choice Requires="x14">
            <control shapeId="35861" r:id="rId16" name="Drop Down 21">
              <controlPr defaultSize="0" autoLine="0" autoPict="0">
                <anchor moveWithCells="1" sizeWithCells="1">
                  <from>
                    <xdr:col>9</xdr:col>
                    <xdr:colOff>9525</xdr:colOff>
                    <xdr:row>19</xdr:row>
                    <xdr:rowOff>428625</xdr:rowOff>
                  </from>
                  <to>
                    <xdr:col>10</xdr:col>
                    <xdr:colOff>28575</xdr:colOff>
                    <xdr:row>19</xdr:row>
                    <xdr:rowOff>628650</xdr:rowOff>
                  </to>
                </anchor>
              </controlPr>
            </control>
          </mc:Choice>
        </mc:AlternateContent>
        <mc:AlternateContent xmlns:mc="http://schemas.openxmlformats.org/markup-compatibility/2006">
          <mc:Choice Requires="x14">
            <control shapeId="35862" r:id="rId17" name="Drop Down 22">
              <controlPr defaultSize="0" autoLine="0" autoPict="0">
                <anchor moveWithCells="1" sizeWithCells="1">
                  <from>
                    <xdr:col>9</xdr:col>
                    <xdr:colOff>9525</xdr:colOff>
                    <xdr:row>20</xdr:row>
                    <xdr:rowOff>428625</xdr:rowOff>
                  </from>
                  <to>
                    <xdr:col>10</xdr:col>
                    <xdr:colOff>28575</xdr:colOff>
                    <xdr:row>20</xdr:row>
                    <xdr:rowOff>638175</xdr:rowOff>
                  </to>
                </anchor>
              </controlPr>
            </control>
          </mc:Choice>
        </mc:AlternateContent>
        <mc:AlternateContent xmlns:mc="http://schemas.openxmlformats.org/markup-compatibility/2006">
          <mc:Choice Requires="x14">
            <control shapeId="35863" r:id="rId18" name="Drop Down 23">
              <controlPr defaultSize="0" autoLine="0" autoPict="0">
                <anchor moveWithCells="1" sizeWithCells="1">
                  <from>
                    <xdr:col>9</xdr:col>
                    <xdr:colOff>9525</xdr:colOff>
                    <xdr:row>26</xdr:row>
                    <xdr:rowOff>190500</xdr:rowOff>
                  </from>
                  <to>
                    <xdr:col>10</xdr:col>
                    <xdr:colOff>28575</xdr:colOff>
                    <xdr:row>26</xdr:row>
                    <xdr:rowOff>352425</xdr:rowOff>
                  </to>
                </anchor>
              </controlPr>
            </control>
          </mc:Choice>
        </mc:AlternateContent>
        <mc:AlternateContent xmlns:mc="http://schemas.openxmlformats.org/markup-compatibility/2006">
          <mc:Choice Requires="x14">
            <control shapeId="35864" r:id="rId19" name="Drop Down 24">
              <controlPr defaultSize="0" autoLine="0" autoPict="0">
                <anchor moveWithCells="1" sizeWithCells="1">
                  <from>
                    <xdr:col>9</xdr:col>
                    <xdr:colOff>9525</xdr:colOff>
                    <xdr:row>21</xdr:row>
                    <xdr:rowOff>438150</xdr:rowOff>
                  </from>
                  <to>
                    <xdr:col>10</xdr:col>
                    <xdr:colOff>28575</xdr:colOff>
                    <xdr:row>21</xdr:row>
                    <xdr:rowOff>628650</xdr:rowOff>
                  </to>
                </anchor>
              </controlPr>
            </control>
          </mc:Choice>
        </mc:AlternateContent>
        <mc:AlternateContent xmlns:mc="http://schemas.openxmlformats.org/markup-compatibility/2006">
          <mc:Choice Requires="x14">
            <control shapeId="35865" r:id="rId20" name="Drop Down 25">
              <controlPr defaultSize="0" autoLine="0" autoPict="0">
                <anchor moveWithCells="1" sizeWithCells="1">
                  <from>
                    <xdr:col>9</xdr:col>
                    <xdr:colOff>9525</xdr:colOff>
                    <xdr:row>22</xdr:row>
                    <xdr:rowOff>428625</xdr:rowOff>
                  </from>
                  <to>
                    <xdr:col>10</xdr:col>
                    <xdr:colOff>28575</xdr:colOff>
                    <xdr:row>22</xdr:row>
                    <xdr:rowOff>638175</xdr:rowOff>
                  </to>
                </anchor>
              </controlPr>
            </control>
          </mc:Choice>
        </mc:AlternateContent>
      </controls>
    </mc:Choice>
  </mc:AlternateConten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ilha34">
    <tabColor theme="4" tint="0.39997558519241921"/>
  </sheetPr>
  <dimension ref="A1:AA34"/>
  <sheetViews>
    <sheetView workbookViewId="0"/>
  </sheetViews>
  <sheetFormatPr defaultColWidth="11.42578125" defaultRowHeight="12.75" x14ac:dyDescent="0.2"/>
  <cols>
    <col min="1" max="1" width="9.28515625" style="404" customWidth="1"/>
    <col min="2" max="2" width="38.42578125" style="404" customWidth="1"/>
    <col min="3" max="3" width="13" style="404" customWidth="1"/>
    <col min="4" max="4" width="22.42578125" style="404" customWidth="1"/>
    <col min="5" max="5" width="14.28515625" style="404" bestFit="1" customWidth="1"/>
    <col min="6" max="6" width="9.7109375" style="404" bestFit="1" customWidth="1"/>
    <col min="7" max="7" width="11.42578125" style="404" customWidth="1"/>
    <col min="8" max="8" width="17" style="404" bestFit="1" customWidth="1"/>
    <col min="9" max="9" width="16.42578125" style="404" bestFit="1" customWidth="1"/>
    <col min="10" max="10" width="25.42578125" style="404" customWidth="1"/>
    <col min="11" max="11" width="14.42578125" style="404" customWidth="1"/>
    <col min="12" max="12" width="12" style="404" bestFit="1" customWidth="1"/>
    <col min="13" max="13" width="25.42578125" style="404" customWidth="1"/>
    <col min="14" max="16384" width="11.42578125" style="404"/>
  </cols>
  <sheetData>
    <row r="1" spans="1:27" x14ac:dyDescent="0.2">
      <c r="A1" s="399" t="s">
        <v>905</v>
      </c>
    </row>
    <row r="2" spans="1:27" ht="15" x14ac:dyDescent="0.2">
      <c r="A2" s="454" t="s">
        <v>371</v>
      </c>
      <c r="B2" s="455" t="s">
        <v>372</v>
      </c>
    </row>
    <row r="3" spans="1:27" ht="13.5" thickBot="1" x14ac:dyDescent="0.25"/>
    <row r="4" spans="1:27" ht="15.75" thickBot="1" x14ac:dyDescent="0.25">
      <c r="A4" s="456"/>
      <c r="B4" s="457" t="s">
        <v>270</v>
      </c>
      <c r="C4" s="458" t="s">
        <v>373</v>
      </c>
      <c r="D4" s="458" t="s">
        <v>374</v>
      </c>
      <c r="E4" s="458" t="s">
        <v>375</v>
      </c>
      <c r="F4" s="458" t="s">
        <v>376</v>
      </c>
      <c r="H4" s="865" t="s">
        <v>84</v>
      </c>
      <c r="I4" s="866"/>
      <c r="J4" s="866"/>
      <c r="K4" s="867"/>
    </row>
    <row r="5" spans="1:27" ht="15" x14ac:dyDescent="0.25">
      <c r="A5" s="456"/>
      <c r="B5" s="459" t="s">
        <v>799</v>
      </c>
      <c r="C5" s="458">
        <f>IF('A.XV. RPS (DetalhadoI)'!D36=1,'A.XV. RPS (Base Num)'!B3,IF('A.XV. RPS (DetalhadoI)'!D36=2,'A.XV. RPS (Base Num)'!D3,IF('A.XV. RPS (DetalhadoI)'!D36=3,'A.XV. RPS (Base Num)'!F3,'A.XV. RPS (Base Num)'!H3)))</f>
        <v>2.2109008037022861</v>
      </c>
      <c r="D5" s="460">
        <f>IF('A.XV. RPS (DetalhadoI)'!D36=1,0,IF('A.XV. RPS (DetalhadoI)'!D36=2,'A.XV. RPS (Base Num)'!E3,IF('A.XV. RPS (DetalhadoI)'!D36=3,'A.XV. RPS (Base Num)'!G3,'A.XV. RPS (Base Num)'!I3)))</f>
        <v>0.22</v>
      </c>
      <c r="E5" s="461">
        <f>D5*C5/1.64</f>
        <v>0.29658425415518475</v>
      </c>
      <c r="F5" s="461">
        <f>E5^2</f>
        <v>8.7962219812787221E-2</v>
      </c>
      <c r="H5" s="411"/>
      <c r="I5" s="412"/>
      <c r="J5" s="412"/>
      <c r="K5" s="462"/>
    </row>
    <row r="6" spans="1:27" ht="15" x14ac:dyDescent="0.25">
      <c r="A6" s="456"/>
      <c r="B6" s="459" t="s">
        <v>800</v>
      </c>
      <c r="C6" s="458">
        <f>IF('A.XV. RPS (DetalhadoI)'!D42=1,'A.XV. RPS (Base Num)'!B4,IF('A.XV. RPS (DetalhadoI)'!D42=2,'A.XV. RPS (Base Num)'!D4,IF('A.XV. RPS (DetalhadoI)'!D42=3,'A.XV. RPS (Base Num)'!F4,'A.XV. RPS (Base Num)'!H4)))</f>
        <v>1.4253750192267685</v>
      </c>
      <c r="D6" s="460">
        <f>IF('A.XV. RPS (DetalhadoI)'!D42=1,0,IF('A.XV. RPS (DetalhadoI)'!D42=2,'A.XV. RPS (Base Num)'!E4,IF('A.XV. RPS (DetalhadoI)'!D42=3,'A.XV. RPS (Base Num)'!G4,'A.XV. RPS (Base Num)'!I4)))</f>
        <v>0.15</v>
      </c>
      <c r="E6" s="461">
        <f t="shared" ref="E6:E21" si="0">D6*C6/1.64</f>
        <v>0.13036966639269224</v>
      </c>
      <c r="F6" s="461">
        <f t="shared" ref="F6:F21" si="1">E6^2</f>
        <v>1.6996249915341866E-2</v>
      </c>
      <c r="H6" s="416"/>
      <c r="I6" s="66"/>
      <c r="J6" s="463" t="s">
        <v>82</v>
      </c>
      <c r="K6" s="464"/>
    </row>
    <row r="7" spans="1:27" ht="24" x14ac:dyDescent="0.25">
      <c r="A7" s="456"/>
      <c r="B7" s="465" t="s">
        <v>801</v>
      </c>
      <c r="C7" s="458">
        <f>IF('A.XV. RPS (DetalhadoI)'!D48=1,'A.XV. RPS (Base Num)'!B5,IF('A.XV. RPS (DetalhadoI)'!D48=2,'A.XV. RPS (Base Num)'!D5,IF('A.XV. RPS (DetalhadoI)'!D48=3,'A.XV. RPS (Base Num)'!F5,'A.XV. RPS (Base Num)'!H5)))</f>
        <v>60.760760004157788</v>
      </c>
      <c r="D7" s="460">
        <f>IF('A.XV. RPS (DetalhadoI)'!D48=1,0,IF('A.XV. RPS (DetalhadoI)'!D48=2,'A.XV. RPS (Base Num)'!E5,IF('A.XV. RPS (DetalhadoI)'!D48=3,'A.XV. RPS (Base Num)'!G5,'A.XV. RPS (Base Num)'!I5)))</f>
        <v>0.06</v>
      </c>
      <c r="E7" s="461">
        <f t="shared" si="0"/>
        <v>2.2229546342984556</v>
      </c>
      <c r="F7" s="461">
        <f t="shared" si="1"/>
        <v>4.9415273061489806</v>
      </c>
      <c r="H7" s="416"/>
      <c r="I7" s="71"/>
      <c r="J7" s="463" t="s">
        <v>94</v>
      </c>
      <c r="K7" s="464"/>
    </row>
    <row r="8" spans="1:27" ht="15" x14ac:dyDescent="0.25">
      <c r="A8" s="456"/>
      <c r="B8" s="466" t="s">
        <v>835</v>
      </c>
      <c r="C8" s="458">
        <f>IF('A.XV. RPS (DetalhadoI)'!D54=1,'A.XV. RPS (Base Num)'!B6,IF('A.XV. RPS (DetalhadoI)'!D54=2,'A.XV. RPS (Base Num)'!F6,IF('A.XV. RPS (DetalhadoI)'!D54=3,'A.XV. RPS (Base Num)'!F6,'A.XV. RPS (Base Num)'!H6)))</f>
        <v>2.2109008037022861</v>
      </c>
      <c r="D8" s="460">
        <f>IF('A.XV. RPS (DetalhadoI)'!D54=1,0,IF('A.XV. RPS (DetalhadoI)'!D54=2,'A.XV. RPS (Base Num)'!E6,IF('A.XV. RPS (DetalhadoI)'!D54=3,'A.XV. RPS (Base Num)'!G6,'A.XV. RPS (Base Num)'!I6)))</f>
        <v>7.0000000000000007E-2</v>
      </c>
      <c r="E8" s="461">
        <f t="shared" si="0"/>
        <v>9.436771723119515E-2</v>
      </c>
      <c r="F8" s="461">
        <f t="shared" si="1"/>
        <v>8.9052660554268057E-3</v>
      </c>
      <c r="H8" s="416"/>
      <c r="I8" s="72"/>
      <c r="J8" s="463" t="s">
        <v>83</v>
      </c>
      <c r="K8" s="464"/>
    </row>
    <row r="9" spans="1:27" ht="15.75" thickBot="1" x14ac:dyDescent="0.3">
      <c r="A9" s="456"/>
      <c r="B9" s="466" t="s">
        <v>803</v>
      </c>
      <c r="C9" s="458">
        <f>IF('A.XV. RPS (DetalhadoI)'!D60=1,'A.XV. RPS (Base Num)'!B7,IF('A.XV. RPS (DetalhadoI)'!D60=2,'A.XV. RPS (Base Num)'!D7,IF('A.XV. RPS (DetalhadoI)'!D60=3,'A.XV. RPS (Base Num)'!F7,'A.XV. RPS (Base Num)'!H7)))</f>
        <v>21.488762164946213</v>
      </c>
      <c r="D9" s="460">
        <f>IF('A.XV. RPS (DetalhadoI)'!D60=1,0,IF('A.XV. RPS (DetalhadoI)'!D60=2,'A.XV. RPS (Base Num)'!E7,IF('A.XV. RPS (DetalhadoI)'!D60=3,'A.XV. RPS (Base Num)'!G7,'A.XV. RPS (Base Num)'!I7)))</f>
        <v>6.9406093680000076E-3</v>
      </c>
      <c r="E9" s="461">
        <f t="shared" si="0"/>
        <v>9.0942136578505986E-2</v>
      </c>
      <c r="F9" s="461">
        <f t="shared" si="1"/>
        <v>8.2704722054636366E-3</v>
      </c>
      <c r="H9" s="421"/>
      <c r="I9" s="422"/>
      <c r="J9" s="422"/>
      <c r="K9" s="467"/>
    </row>
    <row r="10" spans="1:27" x14ac:dyDescent="0.2">
      <c r="A10" s="456"/>
      <c r="B10" s="466" t="s">
        <v>804</v>
      </c>
      <c r="C10" s="458">
        <f>IF('A.XV. RPS (DetalhadoI)'!D66=1,'A.XV. RPS (Base Num)'!B8,IF('A.XV. RPS (DetalhadoI)'!D66=2,'A.XV. RPS (Base Num)'!D8,IF('A.XV. RPS (DetalhadoI)'!D66=3,'A.XV. RPS (Base Num)'!F8,'A.XV. RPS (Base Num)'!H8)))</f>
        <v>100</v>
      </c>
      <c r="D10" s="460">
        <f>IF('A.XV. RPS (DetalhadoI)'!D66=1,0,IF('A.XV. RPS (DetalhadoI)'!D66=2,'A.XV. RPS (Base Num)'!E8,IF('A.XV. RPS (DetalhadoI)'!D66=3,'A.XV. RPS (Base Num)'!G8,'A.XV. RPS (Base Num)'!I8)))</f>
        <v>5.5714285714285716E-2</v>
      </c>
      <c r="E10" s="461">
        <f t="shared" si="0"/>
        <v>3.3972125435540068</v>
      </c>
      <c r="F10" s="461">
        <f t="shared" si="1"/>
        <v>11.541053066080684</v>
      </c>
    </row>
    <row r="11" spans="1:27" x14ac:dyDescent="0.2">
      <c r="A11" s="456"/>
      <c r="B11" s="466" t="s">
        <v>805</v>
      </c>
      <c r="C11" s="458">
        <f>IF('A.XV. RPS (DetalhadoI)'!D72=1,'A.XV. RPS (Base Num)'!B9,IF('A.XV. RPS (DetalhadoI)'!D72=2,'A.XV. RPS (Base Num)'!D9,IF('A.XV. RPS (DetalhadoI)'!D72=3,'A.XV. RPS (Base Num)'!F9,'A.XV. RPS (Base Num)'!H9)))</f>
        <v>99.999472751813727</v>
      </c>
      <c r="D11" s="460">
        <f>IF('A.XV. RPS (DetalhadoI)'!D72=1,0,IF('A.XV. RPS (DetalhadoI)'!D72=2,'A.XV. RPS (Base Num)'!E9,IF('A.XV. RPS (DetalhadoI)'!D72=3,'A.XV. RPS (Base Num)'!G9,'A.XV. RPS (Base Num)'!I9)))</f>
        <v>2.2400000000000021E-2</v>
      </c>
      <c r="E11" s="461">
        <f t="shared" si="0"/>
        <v>1.3658464570979449</v>
      </c>
      <c r="F11" s="461">
        <f t="shared" si="1"/>
        <v>1.8655365443670084</v>
      </c>
      <c r="J11" s="409"/>
      <c r="K11" s="409"/>
      <c r="L11" s="409"/>
      <c r="M11" s="409"/>
      <c r="N11" s="409"/>
      <c r="O11" s="409"/>
      <c r="P11" s="409"/>
      <c r="Q11" s="409"/>
      <c r="R11" s="409"/>
      <c r="S11" s="409"/>
      <c r="T11" s="409"/>
      <c r="U11" s="409"/>
      <c r="V11" s="409"/>
      <c r="W11" s="409"/>
      <c r="X11" s="409"/>
      <c r="Y11" s="409"/>
      <c r="Z11" s="409"/>
      <c r="AA11" s="409"/>
    </row>
    <row r="12" spans="1:27" x14ac:dyDescent="0.2">
      <c r="A12" s="456"/>
      <c r="B12" s="466" t="s">
        <v>806</v>
      </c>
      <c r="C12" s="468">
        <f>IF('A.XV. RPS (DetalhadoI)'!D78=1,'A.XV. RPS (Base Num)'!B10,IF('A.XV. RPS (DetalhadoI)'!D78=2,'A.XV. RPS (Base Num)'!D10,IF('A.XV. RPS (DetalhadoI)'!D78=3,'A.XV. RPS (Base Num)'!F10,'A.XV. RPS (Base Num)'!H10)))</f>
        <v>0</v>
      </c>
      <c r="D12" s="460">
        <f>IF('A.XV. RPS (DetalhadoI)'!D78=1,0,IF('A.XV. RPS (DetalhadoI)'!D78=2,'A.XV. RPS (Base Num)'!E10,IF('A.XV. RPS (DetalhadoI)'!D78=3,'A.XV. RPS (Base Num)'!G10,'A.XV. RPS (Base Num)'!I10)))</f>
        <v>4.8154400000000042E-2</v>
      </c>
      <c r="E12" s="461">
        <f t="shared" si="0"/>
        <v>0</v>
      </c>
      <c r="F12" s="461">
        <f t="shared" si="1"/>
        <v>0</v>
      </c>
      <c r="J12" s="409"/>
      <c r="K12" s="409"/>
      <c r="L12" s="409"/>
      <c r="M12" s="409"/>
      <c r="N12" s="409"/>
      <c r="O12" s="409"/>
      <c r="P12" s="409"/>
      <c r="Q12" s="409"/>
      <c r="R12" s="409"/>
      <c r="S12" s="409"/>
      <c r="T12" s="409"/>
      <c r="U12" s="409"/>
      <c r="V12" s="409"/>
      <c r="W12" s="409"/>
      <c r="X12" s="409"/>
      <c r="Y12" s="409"/>
      <c r="Z12" s="409"/>
      <c r="AA12" s="409"/>
    </row>
    <row r="13" spans="1:27" x14ac:dyDescent="0.2">
      <c r="A13" s="456"/>
      <c r="B13" s="466" t="s">
        <v>807</v>
      </c>
      <c r="C13" s="458">
        <f>IF('A.XV. RPS (DetalhadoI)'!D84=1,'A.XV. RPS (Base Num)'!B11,IF('A.XV. RPS (DetalhadoI)'!D84=2,'A.XV. RPS (Base Num)'!D11,IF('A.XV. RPS (DetalhadoI)'!D84=3,'A.XV. RPS (Base Num)'!F11,'A.XV. RPS (Base Num)'!H11)))</f>
        <v>100</v>
      </c>
      <c r="D13" s="460">
        <f>IF('A.XV. RPS (DetalhadoI)'!D84=1,0,IF('A.XV. RPS (DetalhadoI)'!D84=2,'A.XV. RPS (Base Num)'!E11,IF('A.XV. RPS (DetalhadoI)'!D84=3,'A.XV. RPS (Base Num)'!G11,'A.XV. RPS (Base Num)'!I11)))</f>
        <v>1.2E-2</v>
      </c>
      <c r="E13" s="461">
        <f t="shared" si="0"/>
        <v>0.73170731707317072</v>
      </c>
      <c r="F13" s="461">
        <f t="shared" si="1"/>
        <v>0.53539559785841762</v>
      </c>
      <c r="J13" s="409"/>
      <c r="K13" s="409"/>
      <c r="L13" s="409"/>
      <c r="M13" s="409"/>
      <c r="N13" s="409"/>
      <c r="O13" s="409"/>
      <c r="P13" s="409"/>
      <c r="Q13" s="409"/>
      <c r="R13" s="409"/>
      <c r="S13" s="409"/>
      <c r="T13" s="409"/>
      <c r="U13" s="409"/>
      <c r="V13" s="409"/>
      <c r="W13" s="409"/>
      <c r="X13" s="409"/>
      <c r="Y13" s="409"/>
      <c r="Z13" s="409"/>
      <c r="AA13" s="409"/>
    </row>
    <row r="14" spans="1:27" x14ac:dyDescent="0.2">
      <c r="A14" s="456"/>
      <c r="B14" s="459" t="s">
        <v>808</v>
      </c>
      <c r="C14" s="458">
        <f>IF('A.XV. RPS (DetalhadoI)'!D90=1,'A.XV. RPS (Base Num)'!B12,IF('A.XV. RPS (DetalhadoI)'!D90=2,'A.XV. RPS (Base Num)'!D12,IF('A.XV. RPS (DetalhadoI)'!D90=3,'A.XV. RPS (Base Num)'!F12,'A.XV. RPS (Base Num)'!H12)))</f>
        <v>0</v>
      </c>
      <c r="D14" s="460">
        <f>IF('A.XV. RPS (DetalhadoI)'!D90=1,0,IF('A.XV. RPS (DetalhadoI)'!D90=2,'A.XV. RPS (Base Num)'!E12,IF('A.XV. RPS (DetalhadoI)'!D90=3,'A.XV. RPS (Base Num)'!G12,'A.XV. RPS (Base Num)'!I12)))</f>
        <v>3.5000000000000031E-2</v>
      </c>
      <c r="E14" s="461">
        <f t="shared" si="0"/>
        <v>0</v>
      </c>
      <c r="F14" s="461">
        <f t="shared" si="1"/>
        <v>0</v>
      </c>
      <c r="J14" s="409"/>
      <c r="K14" s="409"/>
      <c r="L14" s="409"/>
      <c r="M14" s="409"/>
      <c r="N14" s="409"/>
      <c r="O14" s="409"/>
      <c r="P14" s="409"/>
      <c r="Q14" s="409"/>
      <c r="R14" s="409"/>
      <c r="S14" s="409"/>
      <c r="T14" s="409"/>
      <c r="U14" s="409"/>
      <c r="V14" s="409"/>
      <c r="W14" s="409"/>
      <c r="X14" s="409"/>
      <c r="Y14" s="409"/>
      <c r="Z14" s="409"/>
      <c r="AA14" s="409"/>
    </row>
    <row r="15" spans="1:27" x14ac:dyDescent="0.2">
      <c r="A15" s="456"/>
      <c r="B15" s="466" t="s">
        <v>809</v>
      </c>
      <c r="C15" s="458">
        <f>IF('A.XV. RPS (DetalhadoI)'!D96=1,'A.XV. RPS (Base Num)'!B13,IF('A.XV. RPS (DetalhadoI)'!D96=2,'A.XV. RPS (Base Num)'!D13,IF('A.XV. RPS (DetalhadoI)'!D96=3,'A.XV. RPS (Base Num)'!F13,'A.XV. RPS (Base Num)'!H13)))</f>
        <v>100</v>
      </c>
      <c r="D15" s="460">
        <f>IF('A.XV. RPS (DetalhadoI)'!D96=1,0,IF('A.XV. RPS (DetalhadoI)'!D96=2,'A.XV. RPS (Base Num)'!E13,IF('A.XV. RPS (DetalhadoI)'!D96=3,'A.XV. RPS (Base Num)'!G13,'A.XV. RPS (Base Num)'!I13)))</f>
        <v>3.5000000000000031E-2</v>
      </c>
      <c r="E15" s="461">
        <f t="shared" si="0"/>
        <v>2.1341463414634165</v>
      </c>
      <c r="F15" s="461">
        <f t="shared" si="1"/>
        <v>4.5545806067816859</v>
      </c>
      <c r="J15" s="409"/>
      <c r="K15" s="409"/>
      <c r="L15" s="409"/>
      <c r="M15" s="409"/>
      <c r="N15" s="409"/>
      <c r="O15" s="409"/>
      <c r="P15" s="409"/>
      <c r="Q15" s="409"/>
      <c r="R15" s="409"/>
      <c r="S15" s="409"/>
      <c r="T15" s="409"/>
      <c r="U15" s="409"/>
      <c r="V15" s="409"/>
      <c r="W15" s="409"/>
      <c r="X15" s="409"/>
      <c r="Y15" s="409"/>
      <c r="Z15" s="409"/>
      <c r="AA15" s="409"/>
    </row>
    <row r="16" spans="1:27" x14ac:dyDescent="0.2">
      <c r="A16" s="456"/>
      <c r="B16" s="466" t="s">
        <v>810</v>
      </c>
      <c r="C16" s="458">
        <f>IF('A.XV. RPS (DetalhadoI)'!D102=1,'A.XV. RPS (Base Num)'!B14,IF('A.XV. RPS (DetalhadoI)'!D102=2,'A.XV. RPS (Base Num)'!D14,IF('A.XV. RPS (DetalhadoI)'!D102=3,'A.XV. RPS (Base Num)'!F14,'A.XV. RPS (Base Num)'!H14)))</f>
        <v>100</v>
      </c>
      <c r="D16" s="460">
        <f>IF('A.XV. RPS (DetalhadoI)'!D102=1,0,IF('A.XV. RPS (DetalhadoI)'!D102=2,'A.XV. RPS (Base Num)'!E14,IF('A.XV. RPS (DetalhadoI)'!D102=3,'A.XV. RPS (Base Num)'!G14,'A.XV. RPS (Base Num)'!I14)))</f>
        <v>0.01</v>
      </c>
      <c r="E16" s="461">
        <f t="shared" si="0"/>
        <v>0.6097560975609756</v>
      </c>
      <c r="F16" s="461">
        <f t="shared" si="1"/>
        <v>0.37180249851279001</v>
      </c>
      <c r="J16" s="409"/>
      <c r="K16" s="409"/>
      <c r="L16" s="409"/>
      <c r="M16" s="409"/>
      <c r="N16" s="409"/>
      <c r="O16" s="409"/>
      <c r="P16" s="409"/>
      <c r="Q16" s="409"/>
      <c r="R16" s="409"/>
      <c r="S16" s="409"/>
      <c r="T16" s="409"/>
      <c r="U16" s="409"/>
      <c r="V16" s="409"/>
      <c r="W16" s="409"/>
      <c r="X16" s="409"/>
      <c r="Y16" s="409"/>
      <c r="Z16" s="409"/>
      <c r="AA16" s="409"/>
    </row>
    <row r="17" spans="1:27" x14ac:dyDescent="0.2">
      <c r="A17" s="456"/>
      <c r="B17" s="466" t="s">
        <v>811</v>
      </c>
      <c r="C17" s="458">
        <f>IF('A.XV. RPS (DetalhadoI)'!D108=1,'A.XV. RPS (Base Num)'!B15,IF('A.XV. RPS (DetalhadoI)'!D108=2,'A.XV. RPS (Base Num)'!D15,IF('A.XV. RPS (DetalhadoI)'!D108=3,'A.XV. RPS (Base Num)'!F15,'A.XV. RPS (Base Num)'!H15)))</f>
        <v>40.578766521887921</v>
      </c>
      <c r="D17" s="460">
        <f>IF('A.XV. RPS (DetalhadoI)'!D108=1,0,IF('A.XV. RPS (DetalhadoI)'!D108=2,'A.XV. RPS (Base Num)'!E15,IF('A.XV. RPS (DetalhadoI)'!D108=3,'A.XV. RPS (Base Num)'!G15,'A.XV. RPS (Base Num)'!I15)))</f>
        <v>7.4999999999999997E-3</v>
      </c>
      <c r="E17" s="461">
        <f t="shared" si="0"/>
        <v>0.18557362738668257</v>
      </c>
      <c r="F17" s="461">
        <f t="shared" si="1"/>
        <v>3.4437571181451299E-2</v>
      </c>
      <c r="J17" s="409"/>
      <c r="K17" s="410"/>
      <c r="L17" s="410"/>
      <c r="M17" s="410"/>
      <c r="N17" s="409"/>
      <c r="O17" s="409"/>
      <c r="P17" s="409"/>
      <c r="Q17" s="409"/>
      <c r="R17" s="409"/>
      <c r="S17" s="409"/>
      <c r="T17" s="409"/>
      <c r="U17" s="409"/>
      <c r="V17" s="409"/>
      <c r="W17" s="409"/>
      <c r="X17" s="409"/>
      <c r="Y17" s="409"/>
      <c r="Z17" s="409"/>
      <c r="AA17" s="409"/>
    </row>
    <row r="18" spans="1:27" x14ac:dyDescent="0.2">
      <c r="A18" s="456"/>
      <c r="B18" s="466" t="s">
        <v>812</v>
      </c>
      <c r="C18" s="458">
        <f>IF('A.XV. RPS (DetalhadoI)'!D114=1,'A.XV. RPS (Base Num)'!B16,IF('A.XV. RPS (DetalhadoI)'!D114=2,'A.XV. RPS (Base Num)'!D16,IF('A.XV. RPS (DetalhadoI)'!D114=3,'A.XV. RPS (Base Num)'!F16,'A.XV. RPS (Base Num)'!H16)))</f>
        <v>11.680829460933342</v>
      </c>
      <c r="D18" s="460">
        <f>IF('A.XV. RPS (DetalhadoI)'!D114=1,0,IF('A.XV. RPS (DetalhadoI)'!D114=2,'A.XV. RPS (Base Num)'!E16,IF('A.XV. RPS (DetalhadoI)'!D114=3,'A.XV. RPS (Base Num)'!G16,'A.XV. RPS (Base Num)'!I16)))</f>
        <v>8.0000000000000002E-3</v>
      </c>
      <c r="E18" s="461">
        <f t="shared" si="0"/>
        <v>5.6979655906991916E-2</v>
      </c>
      <c r="F18" s="461">
        <f t="shared" si="1"/>
        <v>3.2466811872791986E-3</v>
      </c>
      <c r="J18" s="409"/>
      <c r="K18" s="435"/>
      <c r="L18" s="435"/>
      <c r="M18" s="435"/>
      <c r="N18" s="409"/>
      <c r="O18" s="409"/>
      <c r="P18" s="409"/>
      <c r="Q18" s="409"/>
      <c r="R18" s="409"/>
      <c r="S18" s="409"/>
      <c r="T18" s="409"/>
      <c r="U18" s="409"/>
      <c r="V18" s="409"/>
      <c r="W18" s="409"/>
      <c r="X18" s="409"/>
      <c r="Y18" s="409"/>
      <c r="Z18" s="409"/>
      <c r="AA18" s="409"/>
    </row>
    <row r="19" spans="1:27" x14ac:dyDescent="0.2">
      <c r="A19" s="456"/>
      <c r="B19" s="466" t="s">
        <v>813</v>
      </c>
      <c r="C19" s="458">
        <f>IF('A.XV. RPS (DetalhadoI)'!D120=1,'A.XV. RPS (Base Num)'!B17,IF('A.XV. RPS (DetalhadoI)'!D120=2,'A.XV. RPS (Base Num)'!D17,IF('A.XV. RPS (DetalhadoI)'!D120=3,'A.XV. RPS (Base Num)'!F17,'A.XV. RPS (Base Num)'!H17)))</f>
        <v>41.706344581915985</v>
      </c>
      <c r="D19" s="460">
        <f>IF('A.XV. RPS (DetalhadoI)'!D120=1,0,IF('A.XV. RPS (DetalhadoI)'!D120=2,'A.XV. RPS (Base Num)'!E17,IF('A.XV. RPS (DetalhadoI)'!D120=3,'A.XV. RPS (Base Num)'!G17,'A.XV. RPS (Base Num)'!I17)))</f>
        <v>1.2712761600000011E-2</v>
      </c>
      <c r="E19" s="461">
        <f t="shared" si="0"/>
        <v>0.32329439992521347</v>
      </c>
      <c r="F19" s="461">
        <f t="shared" si="1"/>
        <v>0.10451926902300387</v>
      </c>
      <c r="J19" s="409"/>
      <c r="K19" s="435"/>
      <c r="L19" s="435"/>
      <c r="M19" s="435"/>
      <c r="N19" s="409"/>
      <c r="O19" s="409"/>
      <c r="P19" s="409"/>
      <c r="Q19" s="409"/>
      <c r="R19" s="409"/>
      <c r="S19" s="409"/>
      <c r="T19" s="409"/>
      <c r="U19" s="409"/>
      <c r="V19" s="409"/>
      <c r="W19" s="409"/>
      <c r="X19" s="409"/>
      <c r="Y19" s="409"/>
      <c r="Z19" s="409"/>
      <c r="AA19" s="409"/>
    </row>
    <row r="20" spans="1:27" x14ac:dyDescent="0.2">
      <c r="A20" s="456"/>
      <c r="B20" s="466" t="s">
        <v>814</v>
      </c>
      <c r="C20" s="458">
        <f>IF('A.XV. RPS (DetalhadoI)'!D126=1,'A.XV. RPS (Base Num)'!B18,IF('A.XV. RPS (DetalhadoI)'!D126=2,'A.XV. RPS (Base Num)'!D18,IF('A.XV. RPS (DetalhadoI)'!D126=3,'A.XV. RPS (Base Num)'!F18,'A.XV. RPS (Base Num)'!H18)))</f>
        <v>100</v>
      </c>
      <c r="D20" s="460">
        <f>IF('A.XV. RPS (DetalhadoI)'!D126=1,0,IF('A.XV. RPS (DetalhadoI)'!D126=2,'A.XV. RPS (Base Num)'!E18,IF('A.XV. RPS (DetalhadoI)'!D126=3,'A.XV. RPS (Base Num)'!G18,'A.XV. RPS (Base Num)'!I18)))</f>
        <v>1.3333333333333334E-2</v>
      </c>
      <c r="E20" s="461">
        <f t="shared" si="0"/>
        <v>0.81300813008130091</v>
      </c>
      <c r="F20" s="461">
        <f t="shared" si="1"/>
        <v>0.66098221957829351</v>
      </c>
      <c r="J20" s="409"/>
      <c r="K20" s="435"/>
      <c r="L20" s="435"/>
      <c r="M20" s="435"/>
      <c r="N20" s="409"/>
      <c r="O20" s="409"/>
      <c r="P20" s="409"/>
      <c r="Q20" s="409"/>
      <c r="R20" s="409"/>
      <c r="S20" s="409"/>
      <c r="T20" s="409"/>
      <c r="U20" s="409"/>
      <c r="V20" s="409"/>
      <c r="W20" s="409"/>
      <c r="X20" s="409"/>
      <c r="Y20" s="409"/>
      <c r="Z20" s="409"/>
      <c r="AA20" s="409"/>
    </row>
    <row r="21" spans="1:27" ht="12.75" customHeight="1" x14ac:dyDescent="0.2">
      <c r="A21" s="456"/>
      <c r="B21" s="466" t="s">
        <v>815</v>
      </c>
      <c r="C21" s="458">
        <f>IF('A.XV. RPS (DetalhadoI)'!D132=1,'A.XV. RPS (Base Num)'!B19,IF('A.XV. RPS (DetalhadoI)'!D132=2,'A.XV. RPS (Base Num)'!D19,IF('A.XV. RPS (DetalhadoI)'!D132=3,'A.XV. RPS (Base Num)'!F19,'A.XV. RPS (Base Num)'!H19)))</f>
        <v>12.2398705067123</v>
      </c>
      <c r="D21" s="460">
        <f>IF('A.XV. RPS (DetalhadoI)'!D132=1,0,IF('A.XV. RPS (DetalhadoI)'!D132=2,'A.XV. RPS (Base Num)'!E19,IF('A.XV. RPS (DetalhadoI)'!D132=3,'A.XV. RPS (Base Num)'!G19,'A.XV. RPS (Base Num)'!I19)))</f>
        <v>0.02</v>
      </c>
      <c r="E21" s="461">
        <f t="shared" si="0"/>
        <v>0.14926671349649148</v>
      </c>
      <c r="F21" s="461">
        <f t="shared" si="1"/>
        <v>2.2280551758043672E-2</v>
      </c>
      <c r="J21" s="409"/>
      <c r="K21" s="435"/>
      <c r="L21" s="435">
        <v>1</v>
      </c>
      <c r="M21" s="435"/>
      <c r="N21" s="409"/>
      <c r="O21" s="409"/>
      <c r="P21" s="409"/>
      <c r="Q21" s="409"/>
      <c r="R21" s="409"/>
      <c r="S21" s="409"/>
      <c r="T21" s="409"/>
      <c r="U21" s="409"/>
      <c r="V21" s="409"/>
      <c r="W21" s="409"/>
      <c r="X21" s="409"/>
      <c r="Y21" s="409"/>
      <c r="Z21" s="409"/>
      <c r="AA21" s="409"/>
    </row>
    <row r="22" spans="1:27" x14ac:dyDescent="0.2">
      <c r="A22" s="456"/>
      <c r="B22" s="469"/>
      <c r="C22" s="470"/>
      <c r="D22" s="471"/>
      <c r="E22" s="472"/>
      <c r="F22" s="472"/>
      <c r="J22" s="409"/>
      <c r="K22" s="435"/>
      <c r="L22" s="435"/>
      <c r="M22" s="435"/>
      <c r="N22" s="409"/>
      <c r="O22" s="409"/>
      <c r="P22" s="409"/>
      <c r="Q22" s="409"/>
      <c r="R22" s="409"/>
      <c r="S22" s="409"/>
      <c r="T22" s="409"/>
      <c r="U22" s="409"/>
      <c r="V22" s="409"/>
      <c r="W22" s="409"/>
      <c r="X22" s="409"/>
      <c r="Y22" s="409"/>
      <c r="Z22" s="409"/>
      <c r="AA22" s="409"/>
    </row>
    <row r="23" spans="1:27" ht="15" x14ac:dyDescent="0.2">
      <c r="A23" s="454" t="s">
        <v>379</v>
      </c>
      <c r="B23" s="455" t="s">
        <v>380</v>
      </c>
      <c r="J23" s="409"/>
      <c r="K23" s="435"/>
      <c r="L23" s="435"/>
      <c r="M23" s="435"/>
      <c r="N23" s="409"/>
      <c r="O23" s="409"/>
      <c r="P23" s="409"/>
      <c r="Q23" s="409"/>
      <c r="R23" s="409"/>
      <c r="S23" s="409"/>
      <c r="T23" s="409"/>
      <c r="U23" s="409"/>
      <c r="V23" s="409"/>
      <c r="W23" s="409"/>
      <c r="X23" s="409"/>
      <c r="Y23" s="409"/>
      <c r="Z23" s="409"/>
      <c r="AA23" s="409"/>
    </row>
    <row r="24" spans="1:27" x14ac:dyDescent="0.2">
      <c r="H24" s="473" t="s">
        <v>377</v>
      </c>
      <c r="I24" s="473" t="s">
        <v>378</v>
      </c>
      <c r="J24" s="409"/>
      <c r="K24" s="435"/>
      <c r="L24" s="435"/>
      <c r="M24" s="435"/>
      <c r="N24" s="409"/>
      <c r="O24" s="409"/>
      <c r="P24" s="409"/>
      <c r="Q24" s="409"/>
      <c r="R24" s="409"/>
      <c r="S24" s="409"/>
      <c r="T24" s="409"/>
      <c r="U24" s="409"/>
      <c r="V24" s="409"/>
      <c r="W24" s="409"/>
      <c r="X24" s="409"/>
      <c r="Y24" s="409"/>
      <c r="Z24" s="409"/>
      <c r="AA24" s="409"/>
    </row>
    <row r="25" spans="1:27" ht="15" x14ac:dyDescent="0.2">
      <c r="H25" s="474">
        <v>0.95</v>
      </c>
      <c r="I25" s="475">
        <f>(SUM(F5:F21)^0.5)*1.65</f>
        <v>8.2098893529675827</v>
      </c>
      <c r="J25" s="409"/>
      <c r="K25" s="435"/>
      <c r="L25" s="435">
        <f>I25/100</f>
        <v>8.2098893529675823E-2</v>
      </c>
      <c r="M25" s="435"/>
      <c r="N25" s="409"/>
      <c r="O25" s="409"/>
      <c r="P25" s="409"/>
      <c r="Q25" s="409"/>
      <c r="R25" s="409"/>
      <c r="S25" s="409"/>
      <c r="T25" s="409"/>
      <c r="U25" s="409"/>
      <c r="V25" s="409"/>
      <c r="W25" s="409"/>
      <c r="X25" s="409"/>
      <c r="Y25" s="409"/>
      <c r="Z25" s="409"/>
      <c r="AA25" s="409"/>
    </row>
    <row r="26" spans="1:27" ht="15" x14ac:dyDescent="0.25">
      <c r="A26" s="454" t="s">
        <v>371</v>
      </c>
      <c r="B26" s="407" t="s">
        <v>286</v>
      </c>
      <c r="H26" s="476">
        <v>0.9</v>
      </c>
      <c r="I26" s="475">
        <f>(SUM(F5:F21)^0.5)*1.29</f>
        <v>6.4186407668655647</v>
      </c>
      <c r="J26" s="409"/>
      <c r="K26" s="435"/>
      <c r="L26" s="435">
        <f>I26/100</f>
        <v>6.4186407668655646E-2</v>
      </c>
      <c r="M26" s="435"/>
      <c r="N26" s="409"/>
      <c r="O26" s="409"/>
      <c r="P26" s="409"/>
      <c r="Q26" s="409"/>
      <c r="R26" s="409"/>
      <c r="S26" s="409"/>
      <c r="T26" s="409"/>
      <c r="U26" s="409"/>
      <c r="V26" s="409"/>
      <c r="W26" s="409"/>
      <c r="X26" s="409"/>
      <c r="Y26" s="409"/>
      <c r="Z26" s="409"/>
      <c r="AA26" s="409"/>
    </row>
    <row r="27" spans="1:27" ht="15" x14ac:dyDescent="0.25">
      <c r="B27" s="431" t="s">
        <v>287</v>
      </c>
      <c r="C27" s="477">
        <f>IF(L21=1,IF(L30&lt;0.0502,0.0502,L30),IF(L21=2,IF(L30&lt;0.0393,0.0393,L30),IF(L21=3,IF(L30&lt;0.0315,0.0315,L30),"ERRO")))</f>
        <v>8.2098893529675823E-2</v>
      </c>
      <c r="H27" s="476">
        <v>0.85</v>
      </c>
      <c r="I27" s="475">
        <f>(SUM(F5:F21)^0.5)*1.035</f>
        <v>5.1498396850433013</v>
      </c>
      <c r="J27" s="409"/>
      <c r="K27" s="435"/>
      <c r="L27" s="435">
        <f>I27/100</f>
        <v>5.1498396850433011E-2</v>
      </c>
      <c r="M27" s="435"/>
      <c r="N27" s="409"/>
      <c r="O27" s="409"/>
      <c r="P27" s="409"/>
      <c r="Q27" s="409"/>
      <c r="R27" s="409"/>
      <c r="S27" s="409"/>
      <c r="T27" s="409"/>
      <c r="U27" s="409"/>
      <c r="V27" s="409"/>
      <c r="W27" s="409"/>
      <c r="X27" s="409"/>
      <c r="Y27" s="409"/>
      <c r="Z27" s="409"/>
      <c r="AA27" s="409"/>
    </row>
    <row r="28" spans="1:27" x14ac:dyDescent="0.2">
      <c r="J28" s="409"/>
      <c r="K28" s="435"/>
      <c r="L28" s="435"/>
      <c r="M28" s="435"/>
      <c r="N28" s="409"/>
      <c r="O28" s="409"/>
      <c r="P28" s="409"/>
      <c r="Q28" s="409"/>
      <c r="R28" s="409"/>
      <c r="S28" s="409"/>
      <c r="T28" s="409"/>
      <c r="U28" s="409"/>
      <c r="V28" s="409"/>
      <c r="W28" s="409"/>
      <c r="X28" s="409"/>
      <c r="Y28" s="409"/>
      <c r="Z28" s="409"/>
      <c r="AA28" s="409"/>
    </row>
    <row r="29" spans="1:27" x14ac:dyDescent="0.2">
      <c r="J29" s="409"/>
      <c r="K29" s="435"/>
      <c r="L29" s="435"/>
      <c r="M29" s="435"/>
      <c r="N29" s="409"/>
      <c r="O29" s="409"/>
      <c r="P29" s="409"/>
      <c r="Q29" s="409"/>
      <c r="R29" s="409"/>
      <c r="S29" s="409"/>
      <c r="T29" s="409"/>
      <c r="U29" s="409"/>
      <c r="V29" s="409"/>
      <c r="W29" s="409"/>
      <c r="X29" s="409"/>
      <c r="Y29" s="409"/>
      <c r="Z29" s="409"/>
      <c r="AA29" s="409"/>
    </row>
    <row r="30" spans="1:27" x14ac:dyDescent="0.2">
      <c r="J30" s="409"/>
      <c r="K30" s="435"/>
      <c r="L30" s="435">
        <f>IF(L21=1,L25,IF(L21=2,L26,IF(L21=3,L27,"ERROR")))</f>
        <v>8.2098893529675823E-2</v>
      </c>
      <c r="M30" s="435"/>
      <c r="N30" s="409"/>
      <c r="O30" s="409"/>
      <c r="P30" s="409"/>
      <c r="Q30" s="409"/>
      <c r="R30" s="409"/>
      <c r="S30" s="409"/>
      <c r="T30" s="409"/>
      <c r="U30" s="409"/>
      <c r="V30" s="409"/>
      <c r="W30" s="409"/>
      <c r="X30" s="409"/>
      <c r="Y30" s="409"/>
      <c r="Z30" s="409"/>
      <c r="AA30" s="409"/>
    </row>
    <row r="31" spans="1:27" x14ac:dyDescent="0.2">
      <c r="J31" s="409"/>
      <c r="K31" s="435"/>
      <c r="L31" s="435"/>
      <c r="M31" s="435"/>
      <c r="N31" s="409"/>
      <c r="O31" s="409"/>
      <c r="P31" s="409"/>
      <c r="Q31" s="409"/>
      <c r="R31" s="409"/>
      <c r="S31" s="409"/>
      <c r="T31" s="409"/>
      <c r="U31" s="409"/>
      <c r="V31" s="409"/>
      <c r="W31" s="409"/>
      <c r="X31" s="409"/>
      <c r="Y31" s="409"/>
      <c r="Z31" s="409"/>
      <c r="AA31" s="409"/>
    </row>
    <row r="32" spans="1:27" x14ac:dyDescent="0.2">
      <c r="J32" s="409"/>
      <c r="K32" s="435"/>
      <c r="L32" s="435"/>
      <c r="M32" s="435"/>
      <c r="N32" s="409"/>
      <c r="O32" s="409"/>
      <c r="P32" s="409"/>
      <c r="Q32" s="409"/>
      <c r="R32" s="409"/>
      <c r="S32" s="409"/>
      <c r="T32" s="409"/>
      <c r="U32" s="409"/>
      <c r="V32" s="409"/>
      <c r="W32" s="409"/>
      <c r="X32" s="409"/>
      <c r="Y32" s="409"/>
      <c r="Z32" s="409"/>
      <c r="AA32" s="409"/>
    </row>
    <row r="33" spans="10:27" x14ac:dyDescent="0.2">
      <c r="J33" s="409"/>
      <c r="K33" s="410"/>
      <c r="L33" s="410"/>
      <c r="M33" s="410"/>
      <c r="N33" s="409"/>
      <c r="O33" s="409"/>
      <c r="P33" s="409"/>
      <c r="Q33" s="409"/>
      <c r="R33" s="409"/>
      <c r="S33" s="409"/>
      <c r="T33" s="409"/>
      <c r="U33" s="409"/>
      <c r="V33" s="409"/>
      <c r="W33" s="409"/>
      <c r="X33" s="409"/>
      <c r="Y33" s="409"/>
      <c r="Z33" s="409"/>
      <c r="AA33" s="409"/>
    </row>
    <row r="34" spans="10:27" x14ac:dyDescent="0.2">
      <c r="J34" s="409"/>
      <c r="K34" s="410"/>
      <c r="L34" s="410"/>
      <c r="M34" s="410"/>
      <c r="N34" s="409"/>
      <c r="O34" s="409"/>
      <c r="P34" s="409"/>
      <c r="Q34" s="409"/>
      <c r="R34" s="409"/>
      <c r="S34" s="409"/>
      <c r="T34" s="409"/>
      <c r="U34" s="409"/>
      <c r="V34" s="409"/>
      <c r="W34" s="409"/>
      <c r="X34" s="409"/>
      <c r="Y34" s="409"/>
      <c r="Z34" s="409"/>
      <c r="AA34" s="409"/>
    </row>
  </sheetData>
  <sheetProtection password="E159" sheet="1"/>
  <mergeCells count="1">
    <mergeCell ref="H4:K4"/>
  </mergeCells>
  <pageMargins left="0.511811024" right="0.511811024" top="0.78740157499999996" bottom="0.78740157499999996" header="0.31496062000000002" footer="0.31496062000000002"/>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6865" r:id="rId4" name="Drop Down 1">
              <controlPr defaultSize="0" autoLine="0" autoPict="0">
                <anchor moveWithCells="1">
                  <from>
                    <xdr:col>1</xdr:col>
                    <xdr:colOff>9525</xdr:colOff>
                    <xdr:row>23</xdr:row>
                    <xdr:rowOff>9525</xdr:rowOff>
                  </from>
                  <to>
                    <xdr:col>1</xdr:col>
                    <xdr:colOff>676275</xdr:colOff>
                    <xdr:row>24</xdr:row>
                    <xdr:rowOff>47625</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35"/>
  <dimension ref="A1:J19"/>
  <sheetViews>
    <sheetView workbookViewId="0"/>
  </sheetViews>
  <sheetFormatPr defaultColWidth="22" defaultRowHeight="12.75" x14ac:dyDescent="0.2"/>
  <cols>
    <col min="1" max="1" width="40.42578125" style="502" bestFit="1" customWidth="1"/>
    <col min="2" max="2" width="9.140625" style="88" bestFit="1" customWidth="1"/>
    <col min="3" max="3" width="15" style="88" bestFit="1" customWidth="1"/>
    <col min="4" max="4" width="9.140625" style="88" bestFit="1" customWidth="1"/>
    <col min="5" max="5" width="15" style="88" bestFit="1" customWidth="1"/>
    <col min="6" max="6" width="9.140625" style="88" bestFit="1" customWidth="1"/>
    <col min="7" max="7" width="15" style="88" bestFit="1" customWidth="1"/>
    <col min="8" max="8" width="9.140625" style="88" bestFit="1" customWidth="1"/>
    <col min="9" max="9" width="15" style="88" bestFit="1" customWidth="1"/>
    <col min="10" max="10" width="33.7109375" style="503" customWidth="1"/>
    <col min="11" max="16384" width="22" style="88"/>
  </cols>
  <sheetData>
    <row r="1" spans="1:10" x14ac:dyDescent="0.2">
      <c r="A1" s="488"/>
      <c r="B1" s="889" t="s">
        <v>292</v>
      </c>
      <c r="C1" s="890"/>
      <c r="D1" s="891" t="s">
        <v>847</v>
      </c>
      <c r="E1" s="891"/>
      <c r="F1" s="891" t="s">
        <v>293</v>
      </c>
      <c r="G1" s="891"/>
      <c r="H1" s="891" t="s">
        <v>848</v>
      </c>
      <c r="I1" s="891"/>
      <c r="J1" s="489"/>
    </row>
    <row r="2" spans="1:10" x14ac:dyDescent="0.2">
      <c r="A2" s="490" t="s">
        <v>270</v>
      </c>
      <c r="B2" s="491" t="s">
        <v>373</v>
      </c>
      <c r="C2" s="491" t="s">
        <v>816</v>
      </c>
      <c r="D2" s="491" t="s">
        <v>373</v>
      </c>
      <c r="E2" s="491" t="s">
        <v>816</v>
      </c>
      <c r="F2" s="491" t="s">
        <v>373</v>
      </c>
      <c r="G2" s="491" t="s">
        <v>816</v>
      </c>
      <c r="H2" s="491" t="s">
        <v>373</v>
      </c>
      <c r="I2" s="491" t="s">
        <v>816</v>
      </c>
      <c r="J2" s="492" t="s">
        <v>798</v>
      </c>
    </row>
    <row r="3" spans="1:10" x14ac:dyDescent="0.2">
      <c r="A3" s="493" t="s">
        <v>799</v>
      </c>
      <c r="B3" s="494">
        <v>0</v>
      </c>
      <c r="C3" s="495">
        <v>0</v>
      </c>
      <c r="D3" s="496">
        <f>('5. Composição CT'!N27+'5. Composição CT'!N30+'5. Composição CT'!N35+'5. Composição CT'!N39+'5. Composição CT'!N43)*100</f>
        <v>2.2109008037022861</v>
      </c>
      <c r="E3" s="495">
        <v>0.17</v>
      </c>
      <c r="F3" s="496">
        <f>D3</f>
        <v>2.2109008037022861</v>
      </c>
      <c r="G3" s="495">
        <v>0.22</v>
      </c>
      <c r="H3" s="496">
        <f>D3</f>
        <v>2.2109008037022861</v>
      </c>
      <c r="I3" s="495">
        <v>0.25</v>
      </c>
      <c r="J3" s="497" t="s">
        <v>839</v>
      </c>
    </row>
    <row r="4" spans="1:10" x14ac:dyDescent="0.2">
      <c r="A4" s="498" t="s">
        <v>800</v>
      </c>
      <c r="B4" s="494">
        <v>0</v>
      </c>
      <c r="C4" s="495">
        <v>0</v>
      </c>
      <c r="D4" s="496">
        <f>('5. Composição CT'!N28+'5. Composição CT'!N37+'5. Composição CT'!N42+'5. Composição CT'!N44+'5. Composição CT'!N23)*100</f>
        <v>1.4253750192267685</v>
      </c>
      <c r="E4" s="495">
        <v>0.1</v>
      </c>
      <c r="F4" s="496">
        <f t="shared" ref="F4:F19" si="0">D4</f>
        <v>1.4253750192267685</v>
      </c>
      <c r="G4" s="495">
        <v>0.15</v>
      </c>
      <c r="H4" s="496">
        <f t="shared" ref="H4:H19" si="1">D4</f>
        <v>1.4253750192267685</v>
      </c>
      <c r="I4" s="495">
        <v>0.25</v>
      </c>
      <c r="J4" s="499" t="s">
        <v>840</v>
      </c>
    </row>
    <row r="5" spans="1:10" ht="38.25" x14ac:dyDescent="0.2">
      <c r="A5" s="500" t="s">
        <v>801</v>
      </c>
      <c r="B5" s="494">
        <v>0</v>
      </c>
      <c r="C5" s="495">
        <v>0</v>
      </c>
      <c r="D5" s="496">
        <f>('5. Composição CT'!N15+'5. Composição CT'!N26+'5. Composição CT'!N34+'5. Composição CT'!N20+'5. Composição CT'!N21+'5. Composição CT'!N22+'5. Composição CT'!N23+'5. Composição CT'!N27+'5. Composição CT'!N28+'5. Composição CT'!N35+'5. Composição CT'!N36+'5. Composição CT'!N37+'5. Composição CT'!N42+'5. Composição CT'!N43+'5. Composição CT'!N29+'5. Composição CT'!N38+'5. Composição CT'!N44+'5. Composição CT'!N6)*100</f>
        <v>60.760760004157788</v>
      </c>
      <c r="E5" s="495">
        <v>0.04</v>
      </c>
      <c r="F5" s="496">
        <f t="shared" si="0"/>
        <v>60.760760004157788</v>
      </c>
      <c r="G5" s="495">
        <v>0.06</v>
      </c>
      <c r="H5" s="496">
        <f t="shared" si="1"/>
        <v>60.760760004157788</v>
      </c>
      <c r="I5" s="495">
        <v>0.1</v>
      </c>
      <c r="J5" s="499" t="s">
        <v>850</v>
      </c>
    </row>
    <row r="6" spans="1:10" x14ac:dyDescent="0.2">
      <c r="A6" s="498" t="s">
        <v>802</v>
      </c>
      <c r="B6" s="494">
        <v>0</v>
      </c>
      <c r="C6" s="495">
        <v>0</v>
      </c>
      <c r="D6" s="496">
        <f>('5. Composição CT'!N27+'5. Composição CT'!N30+'5. Composição CT'!N35+'5. Composição CT'!N39+'5. Composição CT'!N43)*100</f>
        <v>2.2109008037022861</v>
      </c>
      <c r="E6" s="495">
        <v>0.04</v>
      </c>
      <c r="F6" s="496">
        <f t="shared" si="0"/>
        <v>2.2109008037022861</v>
      </c>
      <c r="G6" s="495">
        <v>7.0000000000000007E-2</v>
      </c>
      <c r="H6" s="496">
        <f t="shared" si="1"/>
        <v>2.2109008037022861</v>
      </c>
      <c r="I6" s="495">
        <v>0.11</v>
      </c>
      <c r="J6" s="497" t="s">
        <v>839</v>
      </c>
    </row>
    <row r="7" spans="1:10" x14ac:dyDescent="0.2">
      <c r="A7" s="498" t="s">
        <v>803</v>
      </c>
      <c r="B7" s="494">
        <v>0</v>
      </c>
      <c r="C7" s="495">
        <v>0</v>
      </c>
      <c r="D7" s="496">
        <f>('5. Composição CT'!N6+'5. Composição CT'!N11+'5. Composição CT'!N30+'5. Composição CT'!N35)*100</f>
        <v>21.488762164946213</v>
      </c>
      <c r="E7" s="495">
        <v>2.247000000000002E-3</v>
      </c>
      <c r="F7" s="496">
        <f t="shared" si="0"/>
        <v>21.488762164946213</v>
      </c>
      <c r="G7" s="495">
        <v>6.9406093680000076E-3</v>
      </c>
      <c r="H7" s="496">
        <f>D7</f>
        <v>21.488762164946213</v>
      </c>
      <c r="I7" s="495">
        <v>7.4999999999999997E-3</v>
      </c>
      <c r="J7" s="499" t="s">
        <v>841</v>
      </c>
    </row>
    <row r="8" spans="1:10" x14ac:dyDescent="0.2">
      <c r="A8" s="498" t="s">
        <v>804</v>
      </c>
      <c r="B8" s="494">
        <v>0</v>
      </c>
      <c r="C8" s="495">
        <v>0</v>
      </c>
      <c r="D8" s="496">
        <v>100</v>
      </c>
      <c r="E8" s="495">
        <v>3.7142857142857144E-2</v>
      </c>
      <c r="F8" s="496">
        <f t="shared" si="0"/>
        <v>100</v>
      </c>
      <c r="G8" s="495">
        <v>5.5714285714285716E-2</v>
      </c>
      <c r="H8" s="496">
        <f t="shared" si="1"/>
        <v>100</v>
      </c>
      <c r="I8" s="495">
        <v>9.4600000000000004E-2</v>
      </c>
      <c r="J8" s="501" t="s">
        <v>842</v>
      </c>
    </row>
    <row r="9" spans="1:10" x14ac:dyDescent="0.2">
      <c r="A9" s="498" t="s">
        <v>805</v>
      </c>
      <c r="B9" s="494">
        <v>0</v>
      </c>
      <c r="C9" s="495">
        <v>0</v>
      </c>
      <c r="D9" s="496">
        <f>(1-(1/(1+('1.1. Passageiros'!D8+0.5*'1.1. Passageiros'!D7))/'1.1. Passageiros'!D11))*100</f>
        <v>99.999472751813727</v>
      </c>
      <c r="E9" s="495">
        <v>1.7920000000000016E-2</v>
      </c>
      <c r="F9" s="496">
        <f t="shared" si="0"/>
        <v>99.999472751813727</v>
      </c>
      <c r="G9" s="495">
        <v>2.2400000000000021E-2</v>
      </c>
      <c r="H9" s="496">
        <f t="shared" si="1"/>
        <v>99.999472751813727</v>
      </c>
      <c r="I9" s="495">
        <v>3.1360000000000027E-2</v>
      </c>
      <c r="J9" s="501" t="s">
        <v>842</v>
      </c>
    </row>
    <row r="10" spans="1:10" x14ac:dyDescent="0.2">
      <c r="A10" s="498" t="s">
        <v>806</v>
      </c>
      <c r="B10" s="494">
        <v>0</v>
      </c>
      <c r="C10" s="495">
        <v>0</v>
      </c>
      <c r="D10" s="496">
        <f>('1.1. Passageiros'!D57/'1.1. Passageiros'!C52)*100</f>
        <v>0</v>
      </c>
      <c r="E10" s="495">
        <v>2.9960000000000032E-2</v>
      </c>
      <c r="F10" s="496">
        <f t="shared" si="0"/>
        <v>0</v>
      </c>
      <c r="G10" s="495">
        <v>4.8154400000000042E-2</v>
      </c>
      <c r="H10" s="496">
        <f t="shared" si="1"/>
        <v>0</v>
      </c>
      <c r="I10" s="495">
        <v>6.8896016000000088E-2</v>
      </c>
      <c r="J10" s="501" t="s">
        <v>842</v>
      </c>
    </row>
    <row r="11" spans="1:10" x14ac:dyDescent="0.2">
      <c r="A11" s="498" t="s">
        <v>807</v>
      </c>
      <c r="B11" s="494">
        <v>0</v>
      </c>
      <c r="C11" s="495">
        <v>0</v>
      </c>
      <c r="D11" s="496">
        <v>100</v>
      </c>
      <c r="E11" s="495">
        <v>8.0000000000000002E-3</v>
      </c>
      <c r="F11" s="496">
        <f t="shared" si="0"/>
        <v>100</v>
      </c>
      <c r="G11" s="495">
        <v>1.2E-2</v>
      </c>
      <c r="H11" s="496">
        <f t="shared" si="1"/>
        <v>100</v>
      </c>
      <c r="I11" s="495">
        <v>2.4E-2</v>
      </c>
      <c r="J11" s="501" t="s">
        <v>842</v>
      </c>
    </row>
    <row r="12" spans="1:10" x14ac:dyDescent="0.2">
      <c r="A12" s="498" t="s">
        <v>808</v>
      </c>
      <c r="B12" s="494">
        <v>0</v>
      </c>
      <c r="C12" s="495">
        <v>0</v>
      </c>
      <c r="D12" s="496">
        <f>('2.1.c Insumos'!F105/'4. Custo Total'!H1)*100</f>
        <v>0</v>
      </c>
      <c r="E12" s="495">
        <v>5.8333333333333336E-3</v>
      </c>
      <c r="F12" s="496">
        <f t="shared" si="0"/>
        <v>0</v>
      </c>
      <c r="G12" s="495">
        <v>3.5000000000000031E-2</v>
      </c>
      <c r="H12" s="496">
        <f t="shared" si="1"/>
        <v>0</v>
      </c>
      <c r="I12" s="495">
        <v>7.4900000000000078E-2</v>
      </c>
      <c r="J12" s="501" t="s">
        <v>842</v>
      </c>
    </row>
    <row r="13" spans="1:10" x14ac:dyDescent="0.2">
      <c r="A13" s="498" t="s">
        <v>809</v>
      </c>
      <c r="B13" s="494">
        <v>0</v>
      </c>
      <c r="C13" s="495">
        <v>0</v>
      </c>
      <c r="D13" s="496">
        <v>100</v>
      </c>
      <c r="E13" s="495">
        <v>5.8333333333333336E-3</v>
      </c>
      <c r="F13" s="496">
        <f t="shared" si="0"/>
        <v>100</v>
      </c>
      <c r="G13" s="495">
        <v>3.5000000000000031E-2</v>
      </c>
      <c r="H13" s="496">
        <f t="shared" si="1"/>
        <v>100</v>
      </c>
      <c r="I13" s="495">
        <v>7.4900000000000078E-2</v>
      </c>
      <c r="J13" s="501" t="s">
        <v>842</v>
      </c>
    </row>
    <row r="14" spans="1:10" x14ac:dyDescent="0.2">
      <c r="A14" s="498" t="s">
        <v>810</v>
      </c>
      <c r="B14" s="494">
        <v>0</v>
      </c>
      <c r="C14" s="495">
        <v>0</v>
      </c>
      <c r="D14" s="496">
        <v>100</v>
      </c>
      <c r="E14" s="495">
        <v>5.0000000000000001E-3</v>
      </c>
      <c r="F14" s="496">
        <f t="shared" si="0"/>
        <v>100</v>
      </c>
      <c r="G14" s="495">
        <v>0.01</v>
      </c>
      <c r="H14" s="496">
        <f t="shared" si="1"/>
        <v>100</v>
      </c>
      <c r="I14" s="495">
        <v>1.2E-2</v>
      </c>
      <c r="J14" s="501" t="s">
        <v>842</v>
      </c>
    </row>
    <row r="15" spans="1:10" x14ac:dyDescent="0.2">
      <c r="A15" s="498" t="s">
        <v>811</v>
      </c>
      <c r="B15" s="494">
        <v>0</v>
      </c>
      <c r="C15" s="495">
        <v>0</v>
      </c>
      <c r="D15" s="496">
        <f>(SUM('5. Composição CT'!N6:N11)+'5. Composição CT'!N26+'5. Composição CT'!N34)*100</f>
        <v>40.578766521887921</v>
      </c>
      <c r="E15" s="495">
        <v>5.0000000000000001E-3</v>
      </c>
      <c r="F15" s="496">
        <f t="shared" si="0"/>
        <v>40.578766521887921</v>
      </c>
      <c r="G15" s="495">
        <v>7.4999999999999997E-3</v>
      </c>
      <c r="H15" s="496">
        <f t="shared" si="1"/>
        <v>40.578766521887921</v>
      </c>
      <c r="I15" s="495">
        <v>0.01</v>
      </c>
      <c r="J15" s="499" t="s">
        <v>846</v>
      </c>
    </row>
    <row r="16" spans="1:10" x14ac:dyDescent="0.2">
      <c r="A16" s="498" t="s">
        <v>812</v>
      </c>
      <c r="B16" s="494">
        <v>0</v>
      </c>
      <c r="C16" s="495">
        <v>0</v>
      </c>
      <c r="D16" s="496">
        <f>('5. Composição CT'!N26+'5. Composição CT'!N28+'5. Composição CT'!N34+'5. Composição CT'!N37+'5. Composição CT'!N42+'5. Composição CT'!N30+'5. Composição CT'!N39)*100</f>
        <v>11.680829460933342</v>
      </c>
      <c r="E16" s="495">
        <v>4.0000000000000001E-3</v>
      </c>
      <c r="F16" s="496">
        <f t="shared" si="0"/>
        <v>11.680829460933342</v>
      </c>
      <c r="G16" s="495">
        <v>8.0000000000000002E-3</v>
      </c>
      <c r="H16" s="496">
        <f t="shared" si="1"/>
        <v>11.680829460933342</v>
      </c>
      <c r="I16" s="495">
        <v>1.4999999999999999E-2</v>
      </c>
      <c r="J16" s="499" t="s">
        <v>844</v>
      </c>
    </row>
    <row r="17" spans="1:10" ht="15.75" customHeight="1" x14ac:dyDescent="0.2">
      <c r="A17" s="498" t="s">
        <v>813</v>
      </c>
      <c r="B17" s="494">
        <v>0</v>
      </c>
      <c r="C17" s="495">
        <v>0</v>
      </c>
      <c r="D17" s="496">
        <f>('5. Composição CT'!N15+'5. Composição CT'!N16)*100</f>
        <v>41.706344581915985</v>
      </c>
      <c r="E17" s="495">
        <v>3.6960000000000031E-3</v>
      </c>
      <c r="F17" s="496">
        <f t="shared" si="0"/>
        <v>41.706344581915985</v>
      </c>
      <c r="G17" s="495">
        <v>1.2712761600000011E-2</v>
      </c>
      <c r="H17" s="496">
        <f t="shared" si="1"/>
        <v>41.706344581915985</v>
      </c>
      <c r="I17" s="495">
        <v>2.64E-2</v>
      </c>
      <c r="J17" s="501" t="s">
        <v>845</v>
      </c>
    </row>
    <row r="18" spans="1:10" ht="12.75" customHeight="1" x14ac:dyDescent="0.2">
      <c r="A18" s="498" t="s">
        <v>814</v>
      </c>
      <c r="B18" s="494">
        <v>0</v>
      </c>
      <c r="C18" s="495">
        <v>0</v>
      </c>
      <c r="D18" s="496">
        <v>100</v>
      </c>
      <c r="E18" s="495">
        <v>1.3333333333333334E-2</v>
      </c>
      <c r="F18" s="496">
        <f t="shared" si="0"/>
        <v>100</v>
      </c>
      <c r="G18" s="495">
        <v>1.3333333333333334E-2</v>
      </c>
      <c r="H18" s="496">
        <f t="shared" si="1"/>
        <v>100</v>
      </c>
      <c r="I18" s="495">
        <v>1.3333333333333334E-2</v>
      </c>
      <c r="J18" s="501" t="s">
        <v>842</v>
      </c>
    </row>
    <row r="19" spans="1:10" ht="25.5" x14ac:dyDescent="0.2">
      <c r="A19" s="498" t="s">
        <v>815</v>
      </c>
      <c r="B19" s="494">
        <v>0</v>
      </c>
      <c r="C19" s="495">
        <v>0</v>
      </c>
      <c r="D19" s="496">
        <f>(SUM('5. Composição CT'!N26:N30)+SUM('5. Composição CT'!N34:N39))*100</f>
        <v>12.2398705067123</v>
      </c>
      <c r="E19" s="495">
        <v>1.6E-2</v>
      </c>
      <c r="F19" s="496">
        <f t="shared" si="0"/>
        <v>12.2398705067123</v>
      </c>
      <c r="G19" s="495">
        <v>0.02</v>
      </c>
      <c r="H19" s="496">
        <f t="shared" si="1"/>
        <v>12.2398705067123</v>
      </c>
      <c r="I19" s="495">
        <v>2.5000000000000001E-2</v>
      </c>
      <c r="J19" s="497" t="s">
        <v>851</v>
      </c>
    </row>
  </sheetData>
  <sheetProtection password="E159" sheet="1"/>
  <mergeCells count="4">
    <mergeCell ref="B1:C1"/>
    <mergeCell ref="D1:E1"/>
    <mergeCell ref="F1:G1"/>
    <mergeCell ref="H1:I1"/>
  </mergeCells>
  <pageMargins left="0.511811024" right="0.511811024" top="0.78740157499999996" bottom="0.78740157499999996" header="0.31496062000000002" footer="0.31496062000000002"/>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36">
    <tabColor theme="6" tint="0.39997558519241921"/>
  </sheetPr>
  <dimension ref="B2:I49"/>
  <sheetViews>
    <sheetView showGridLines="0" workbookViewId="0">
      <selection activeCell="K42" sqref="K42"/>
    </sheetView>
  </sheetViews>
  <sheetFormatPr defaultColWidth="9.140625" defaultRowHeight="12.75" x14ac:dyDescent="0.2"/>
  <cols>
    <col min="1" max="1" width="9.140625" style="139" customWidth="1"/>
    <col min="2" max="2" width="50" style="139" bestFit="1" customWidth="1"/>
    <col min="3" max="3" width="17.42578125" style="139" bestFit="1" customWidth="1"/>
    <col min="4" max="16384" width="9.140625" style="139"/>
  </cols>
  <sheetData>
    <row r="2" spans="2:9" ht="13.5" thickBot="1" x14ac:dyDescent="0.25"/>
    <row r="3" spans="2:9" ht="15.75" thickBot="1" x14ac:dyDescent="0.25">
      <c r="B3" s="455" t="s">
        <v>780</v>
      </c>
      <c r="C3" s="455"/>
      <c r="F3" s="865" t="s">
        <v>84</v>
      </c>
      <c r="G3" s="866"/>
      <c r="H3" s="866"/>
      <c r="I3" s="867"/>
    </row>
    <row r="4" spans="2:9" ht="15" x14ac:dyDescent="0.25">
      <c r="F4" s="411"/>
      <c r="G4" s="412"/>
      <c r="H4" s="412"/>
      <c r="I4" s="462"/>
    </row>
    <row r="5" spans="2:9" ht="15" x14ac:dyDescent="0.25">
      <c r="B5" s="478" t="s">
        <v>442</v>
      </c>
      <c r="C5" s="486"/>
      <c r="F5" s="416"/>
      <c r="G5" s="66"/>
      <c r="H5" s="463" t="s">
        <v>82</v>
      </c>
      <c r="I5" s="464"/>
    </row>
    <row r="6" spans="2:9" ht="15" x14ac:dyDescent="0.25">
      <c r="B6" s="146"/>
      <c r="C6" s="487"/>
      <c r="F6" s="416"/>
      <c r="G6" s="71"/>
      <c r="H6" s="463" t="s">
        <v>94</v>
      </c>
      <c r="I6" s="464"/>
    </row>
    <row r="7" spans="2:9" ht="15" x14ac:dyDescent="0.25">
      <c r="B7" s="151" t="s">
        <v>432</v>
      </c>
      <c r="C7" s="486"/>
      <c r="F7" s="416"/>
      <c r="G7" s="72"/>
      <c r="H7" s="463" t="s">
        <v>83</v>
      </c>
      <c r="I7" s="464"/>
    </row>
    <row r="8" spans="2:9" ht="15.75" thickBot="1" x14ac:dyDescent="0.3">
      <c r="B8" s="145" t="s">
        <v>433</v>
      </c>
      <c r="C8" s="486"/>
      <c r="F8" s="421"/>
      <c r="G8" s="422"/>
      <c r="H8" s="422"/>
      <c r="I8" s="467"/>
    </row>
    <row r="9" spans="2:9" x14ac:dyDescent="0.2">
      <c r="B9" s="145" t="s">
        <v>434</v>
      </c>
      <c r="C9" s="486"/>
    </row>
    <row r="10" spans="2:9" x14ac:dyDescent="0.2">
      <c r="B10" s="145" t="s">
        <v>435</v>
      </c>
      <c r="C10" s="486"/>
    </row>
    <row r="11" spans="2:9" x14ac:dyDescent="0.2">
      <c r="B11" s="146"/>
      <c r="C11" s="479"/>
    </row>
    <row r="12" spans="2:9" x14ac:dyDescent="0.2">
      <c r="B12" s="480" t="s">
        <v>428</v>
      </c>
      <c r="C12" s="481">
        <f>SUM(C7:C10)</f>
        <v>0</v>
      </c>
    </row>
    <row r="13" spans="2:9" x14ac:dyDescent="0.2">
      <c r="B13" s="482"/>
      <c r="C13" s="479"/>
    </row>
    <row r="14" spans="2:9" x14ac:dyDescent="0.2">
      <c r="B14" s="146" t="s">
        <v>426</v>
      </c>
      <c r="C14" s="486"/>
    </row>
    <row r="15" spans="2:9" x14ac:dyDescent="0.2">
      <c r="B15" s="146" t="s">
        <v>427</v>
      </c>
      <c r="C15" s="486"/>
    </row>
    <row r="16" spans="2:9" x14ac:dyDescent="0.2">
      <c r="B16" s="146"/>
      <c r="C16" s="487"/>
    </row>
    <row r="17" spans="2:3" x14ac:dyDescent="0.2">
      <c r="B17" s="145" t="s">
        <v>436</v>
      </c>
      <c r="C17" s="486"/>
    </row>
    <row r="18" spans="2:3" x14ac:dyDescent="0.2">
      <c r="B18" s="145" t="s">
        <v>437</v>
      </c>
      <c r="C18" s="486"/>
    </row>
    <row r="19" spans="2:3" x14ac:dyDescent="0.2">
      <c r="B19" s="145" t="s">
        <v>438</v>
      </c>
      <c r="C19" s="486"/>
    </row>
    <row r="20" spans="2:3" x14ac:dyDescent="0.2">
      <c r="B20" s="146"/>
      <c r="C20" s="479"/>
    </row>
    <row r="21" spans="2:3" x14ac:dyDescent="0.2">
      <c r="B21" s="480" t="s">
        <v>429</v>
      </c>
      <c r="C21" s="481">
        <f>SUM(C17:C19)</f>
        <v>0</v>
      </c>
    </row>
    <row r="22" spans="2:3" x14ac:dyDescent="0.2">
      <c r="B22" s="480"/>
      <c r="C22" s="479"/>
    </row>
    <row r="23" spans="2:3" x14ac:dyDescent="0.2">
      <c r="B23" s="145" t="s">
        <v>439</v>
      </c>
      <c r="C23" s="486"/>
    </row>
    <row r="24" spans="2:3" x14ac:dyDescent="0.2">
      <c r="B24" s="145" t="s">
        <v>440</v>
      </c>
      <c r="C24" s="486"/>
    </row>
    <row r="25" spans="2:3" x14ac:dyDescent="0.2">
      <c r="B25" s="145" t="s">
        <v>441</v>
      </c>
      <c r="C25" s="486"/>
    </row>
    <row r="26" spans="2:3" x14ac:dyDescent="0.2">
      <c r="B26" s="483"/>
      <c r="C26" s="479"/>
    </row>
    <row r="27" spans="2:3" x14ac:dyDescent="0.2">
      <c r="B27" s="480" t="s">
        <v>430</v>
      </c>
      <c r="C27" s="481">
        <f>SUM(C23:C25)</f>
        <v>0</v>
      </c>
    </row>
    <row r="28" spans="2:3" x14ac:dyDescent="0.2">
      <c r="B28" s="480"/>
      <c r="C28" s="479"/>
    </row>
    <row r="29" spans="2:3" x14ac:dyDescent="0.2">
      <c r="B29" s="483" t="s">
        <v>443</v>
      </c>
      <c r="C29" s="486"/>
    </row>
    <row r="30" spans="2:3" x14ac:dyDescent="0.2">
      <c r="B30" s="483" t="s">
        <v>444</v>
      </c>
      <c r="C30" s="486"/>
    </row>
    <row r="31" spans="2:3" x14ac:dyDescent="0.2">
      <c r="B31" s="483" t="s">
        <v>445</v>
      </c>
      <c r="C31" s="486"/>
    </row>
    <row r="32" spans="2:3" x14ac:dyDescent="0.2">
      <c r="B32" s="483" t="s">
        <v>446</v>
      </c>
      <c r="C32" s="486"/>
    </row>
    <row r="33" spans="2:5" x14ac:dyDescent="0.2">
      <c r="B33" s="483" t="s">
        <v>447</v>
      </c>
      <c r="C33" s="486"/>
    </row>
    <row r="34" spans="2:5" x14ac:dyDescent="0.2">
      <c r="B34" s="483"/>
      <c r="C34" s="487"/>
    </row>
    <row r="35" spans="2:5" x14ac:dyDescent="0.2">
      <c r="B35" s="145" t="s">
        <v>448</v>
      </c>
      <c r="C35" s="486"/>
    </row>
    <row r="36" spans="2:5" x14ac:dyDescent="0.2">
      <c r="B36" s="145" t="s">
        <v>449</v>
      </c>
      <c r="C36" s="486"/>
    </row>
    <row r="37" spans="2:5" x14ac:dyDescent="0.2">
      <c r="B37" s="145" t="s">
        <v>450</v>
      </c>
      <c r="C37" s="486"/>
    </row>
    <row r="38" spans="2:5" x14ac:dyDescent="0.2">
      <c r="B38" s="145" t="s">
        <v>451</v>
      </c>
      <c r="C38" s="486"/>
    </row>
    <row r="39" spans="2:5" x14ac:dyDescent="0.2">
      <c r="B39" s="145" t="s">
        <v>452</v>
      </c>
      <c r="C39" s="486"/>
    </row>
    <row r="40" spans="2:5" x14ac:dyDescent="0.2">
      <c r="B40" s="145" t="s">
        <v>453</v>
      </c>
      <c r="C40" s="486"/>
    </row>
    <row r="41" spans="2:5" x14ac:dyDescent="0.2">
      <c r="B41" s="145" t="s">
        <v>454</v>
      </c>
      <c r="C41" s="486"/>
    </row>
    <row r="42" spans="2:5" x14ac:dyDescent="0.2">
      <c r="B42" s="145" t="s">
        <v>455</v>
      </c>
      <c r="C42" s="486"/>
    </row>
    <row r="43" spans="2:5" x14ac:dyDescent="0.2">
      <c r="B43" s="145" t="s">
        <v>456</v>
      </c>
      <c r="C43" s="486"/>
    </row>
    <row r="44" spans="2:5" x14ac:dyDescent="0.2">
      <c r="B44" s="483"/>
      <c r="C44" s="479"/>
    </row>
    <row r="45" spans="2:5" x14ac:dyDescent="0.2">
      <c r="B45" s="480" t="s">
        <v>431</v>
      </c>
      <c r="C45" s="481">
        <f>SUM(C35:C43)</f>
        <v>0</v>
      </c>
    </row>
    <row r="46" spans="2:5" x14ac:dyDescent="0.2">
      <c r="B46" s="146"/>
      <c r="C46" s="479" t="s">
        <v>458</v>
      </c>
    </row>
    <row r="47" spans="2:5" x14ac:dyDescent="0.2">
      <c r="B47" s="483" t="s">
        <v>457</v>
      </c>
      <c r="C47" s="486" cm="1">
        <f t="array" ref="C47:E47">'Despesas Gerais'!E18:G18</f>
        <v>445200</v>
      </c>
      <c r="D47" s="139">
        <v>0</v>
      </c>
      <c r="E47" s="139">
        <v>0</v>
      </c>
    </row>
    <row r="48" spans="2:5" x14ac:dyDescent="0.2">
      <c r="C48" s="479" t="s">
        <v>458</v>
      </c>
    </row>
    <row r="49" spans="2:3" x14ac:dyDescent="0.2">
      <c r="B49" s="484" t="s">
        <v>781</v>
      </c>
      <c r="C49" s="485">
        <f>C47+C45+SUM(C29:C33)+C27+C21+C12+C5+C14+C15</f>
        <v>445200</v>
      </c>
    </row>
  </sheetData>
  <sheetProtection password="E159" sheet="1"/>
  <mergeCells count="1">
    <mergeCell ref="F3:I3"/>
  </mergeCells>
  <pageMargins left="0.23622047244094491" right="0.23622047244094491" top="0.74803149606299213" bottom="0.74803149606299213" header="0.31496062992125984" footer="0.31496062992125984"/>
  <pageSetup paperSize="9" scale="95" orientation="landscape"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37">
    <tabColor theme="6" tint="0.39997558519241921"/>
  </sheetPr>
  <dimension ref="A2:L18"/>
  <sheetViews>
    <sheetView showGridLines="0" topLeftCell="A13" workbookViewId="0">
      <selection activeCell="P24" sqref="P24"/>
    </sheetView>
  </sheetViews>
  <sheetFormatPr defaultRowHeight="12.75" x14ac:dyDescent="0.2"/>
  <cols>
    <col min="9" max="9" width="1.5703125" style="139" customWidth="1"/>
    <col min="10" max="10" width="9.140625" style="139" customWidth="1"/>
    <col min="11" max="11" width="38.7109375" style="139" customWidth="1"/>
    <col min="12" max="12" width="0.85546875" style="139" customWidth="1"/>
  </cols>
  <sheetData>
    <row r="2" spans="1:12" ht="15" x14ac:dyDescent="0.25">
      <c r="A2" s="7" t="s">
        <v>953</v>
      </c>
      <c r="B2" s="7" t="s">
        <v>947</v>
      </c>
      <c r="C2" s="4"/>
      <c r="D2" s="4"/>
      <c r="E2" s="4"/>
      <c r="F2" s="4"/>
      <c r="G2" s="4"/>
      <c r="H2" s="4"/>
    </row>
    <row r="3" spans="1:12" ht="15" x14ac:dyDescent="0.25">
      <c r="A3" s="7"/>
      <c r="B3" s="7"/>
      <c r="C3" s="4"/>
      <c r="D3" s="4"/>
      <c r="E3" s="4"/>
      <c r="F3" s="4"/>
      <c r="G3" s="4"/>
      <c r="H3" s="4"/>
      <c r="I3" s="59"/>
      <c r="J3" s="59"/>
      <c r="K3" s="59"/>
      <c r="L3" s="59"/>
    </row>
    <row r="4" spans="1:12" ht="32.25" thickBot="1" x14ac:dyDescent="0.3">
      <c r="A4" s="793" t="s">
        <v>946</v>
      </c>
      <c r="B4" s="793"/>
      <c r="C4" s="793"/>
      <c r="D4" s="793"/>
      <c r="E4" s="17" t="s">
        <v>951</v>
      </c>
      <c r="F4" s="17" t="s">
        <v>952</v>
      </c>
      <c r="G4" s="4"/>
      <c r="H4" s="4"/>
      <c r="I4" s="59"/>
      <c r="J4" s="59"/>
      <c r="K4" s="59"/>
      <c r="L4" s="59"/>
    </row>
    <row r="5" spans="1:12" ht="16.5" thickBot="1" x14ac:dyDescent="0.3">
      <c r="A5" s="793"/>
      <c r="B5" s="793"/>
      <c r="C5" s="793"/>
      <c r="D5" s="793"/>
      <c r="E5" s="343">
        <v>0.02</v>
      </c>
      <c r="F5" s="343">
        <v>0.05</v>
      </c>
      <c r="G5" s="4"/>
      <c r="H5" s="16"/>
      <c r="I5" s="537" t="s">
        <v>84</v>
      </c>
      <c r="J5" s="538"/>
      <c r="K5" s="538"/>
      <c r="L5" s="539"/>
    </row>
    <row r="6" spans="1:12" ht="15" x14ac:dyDescent="0.25">
      <c r="I6" s="62"/>
      <c r="J6" s="63"/>
      <c r="K6" s="63"/>
      <c r="L6" s="64"/>
    </row>
    <row r="7" spans="1:12" ht="15" x14ac:dyDescent="0.25">
      <c r="I7" s="65"/>
      <c r="J7" s="66"/>
      <c r="K7" s="67" t="s">
        <v>82</v>
      </c>
      <c r="L7" s="68"/>
    </row>
    <row r="8" spans="1:12" ht="21" x14ac:dyDescent="0.25">
      <c r="A8" s="894" t="s">
        <v>231</v>
      </c>
      <c r="B8" s="895"/>
      <c r="C8" s="896"/>
      <c r="D8" s="892">
        <v>618333.33333333337</v>
      </c>
      <c r="E8" s="893"/>
      <c r="F8" s="893"/>
      <c r="I8" s="65"/>
      <c r="J8" s="71"/>
      <c r="K8" s="67" t="s">
        <v>94</v>
      </c>
      <c r="L8" s="68"/>
    </row>
    <row r="9" spans="1:12" ht="15" x14ac:dyDescent="0.25">
      <c r="I9" s="65"/>
      <c r="J9" s="72"/>
      <c r="K9" s="67" t="s">
        <v>83</v>
      </c>
      <c r="L9" s="68"/>
    </row>
    <row r="10" spans="1:12" ht="21.75" thickBot="1" x14ac:dyDescent="0.3">
      <c r="A10" s="894" t="s">
        <v>949</v>
      </c>
      <c r="B10" s="895"/>
      <c r="C10" s="896"/>
      <c r="D10" s="899">
        <f>SUM('1.3 Frota Total'!C19:C25)</f>
        <v>24</v>
      </c>
      <c r="E10" s="900"/>
      <c r="F10" s="900"/>
      <c r="I10" s="73"/>
      <c r="J10" s="74"/>
      <c r="K10" s="74"/>
      <c r="L10" s="75"/>
    </row>
    <row r="11" spans="1:12" ht="15" x14ac:dyDescent="0.25">
      <c r="I11" s="59"/>
      <c r="J11" s="59"/>
      <c r="K11" s="59"/>
      <c r="L11" s="59"/>
    </row>
    <row r="12" spans="1:12" ht="14.45" customHeight="1" x14ac:dyDescent="0.2"/>
    <row r="13" spans="1:12" x14ac:dyDescent="0.2">
      <c r="A13" s="518" t="s">
        <v>954</v>
      </c>
      <c r="B13" s="518" t="s">
        <v>948</v>
      </c>
    </row>
    <row r="14" spans="1:12" x14ac:dyDescent="0.2">
      <c r="A14" s="793" t="s">
        <v>948</v>
      </c>
      <c r="B14" s="793"/>
      <c r="C14" s="793"/>
      <c r="D14" s="793"/>
      <c r="E14" s="897">
        <v>0.03</v>
      </c>
    </row>
    <row r="15" spans="1:12" x14ac:dyDescent="0.2">
      <c r="A15" s="793"/>
      <c r="B15" s="793"/>
      <c r="C15" s="793"/>
      <c r="D15" s="793"/>
      <c r="E15" s="898"/>
    </row>
    <row r="18" spans="1:7" ht="21" customHeight="1" x14ac:dyDescent="0.2">
      <c r="A18" s="515" t="s">
        <v>950</v>
      </c>
      <c r="B18" s="516"/>
      <c r="C18" s="517"/>
      <c r="D18" s="515"/>
      <c r="E18" s="892">
        <f>D8*D10*E14</f>
        <v>445200</v>
      </c>
      <c r="F18" s="893"/>
      <c r="G18" s="893"/>
    </row>
  </sheetData>
  <mergeCells count="9">
    <mergeCell ref="E18:G18"/>
    <mergeCell ref="A4:D5"/>
    <mergeCell ref="A8:C8"/>
    <mergeCell ref="D8:F8"/>
    <mergeCell ref="I5:L5"/>
    <mergeCell ref="A14:D15"/>
    <mergeCell ref="E14:E15"/>
    <mergeCell ref="A10:C10"/>
    <mergeCell ref="D10:F10"/>
  </mergeCells>
  <pageMargins left="0.511811024" right="0.511811024" top="0.78740157499999996" bottom="0.78740157499999996" header="0.31496062000000002" footer="0.31496062000000002"/>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4">
    <tabColor theme="9" tint="0.59999389629810485"/>
  </sheetPr>
  <dimension ref="A1:V150"/>
  <sheetViews>
    <sheetView showGridLines="0" zoomScaleNormal="100" workbookViewId="0">
      <selection activeCell="K21" sqref="K21"/>
    </sheetView>
  </sheetViews>
  <sheetFormatPr defaultColWidth="11.42578125" defaultRowHeight="15" x14ac:dyDescent="0.25"/>
  <cols>
    <col min="1" max="1" width="12.28515625" style="59" customWidth="1"/>
    <col min="2" max="2" width="31.5703125" style="59" customWidth="1"/>
    <col min="3" max="3" width="48.42578125" style="59" bestFit="1" customWidth="1"/>
    <col min="4" max="4" width="38.7109375" style="59" customWidth="1"/>
    <col min="5" max="5" width="36.7109375" style="59" customWidth="1"/>
    <col min="6" max="6" width="30.7109375" style="59" customWidth="1"/>
    <col min="7" max="7" width="27.42578125" style="59" customWidth="1"/>
    <col min="8" max="8" width="29.28515625" style="59" customWidth="1"/>
    <col min="9" max="9" width="11.42578125" style="59" customWidth="1"/>
    <col min="10" max="10" width="1" style="59" customWidth="1"/>
    <col min="11" max="11" width="11.42578125" style="59" customWidth="1"/>
    <col min="12" max="12" width="38.7109375" style="59" bestFit="1" customWidth="1"/>
    <col min="13" max="13" width="1" style="59" customWidth="1"/>
    <col min="14" max="14" width="11.42578125" style="59"/>
    <col min="15" max="17" width="0" style="59" hidden="1" customWidth="1"/>
    <col min="18" max="18" width="15.28515625" style="59" hidden="1" customWidth="1"/>
    <col min="19" max="23" width="0" style="59" hidden="1" customWidth="1"/>
    <col min="24" max="16384" width="11.42578125" style="59"/>
  </cols>
  <sheetData>
    <row r="1" spans="1:13" x14ac:dyDescent="0.25">
      <c r="A1" s="536" t="s">
        <v>511</v>
      </c>
      <c r="B1" s="536"/>
      <c r="C1" s="536"/>
      <c r="D1" s="536"/>
      <c r="E1" s="536"/>
      <c r="F1" s="536"/>
      <c r="G1" s="536"/>
      <c r="H1" s="536"/>
      <c r="I1" s="536"/>
      <c r="J1" s="536"/>
      <c r="K1" s="536"/>
    </row>
    <row r="2" spans="1:13" ht="15.75" thickBot="1" x14ac:dyDescent="0.3"/>
    <row r="3" spans="1:13" ht="15.75" thickBot="1" x14ac:dyDescent="0.3">
      <c r="A3" s="61" t="s">
        <v>512</v>
      </c>
      <c r="C3" s="594" t="s">
        <v>513</v>
      </c>
      <c r="D3" s="594"/>
      <c r="E3" s="594"/>
      <c r="J3" s="537" t="s">
        <v>84</v>
      </c>
      <c r="K3" s="538"/>
      <c r="L3" s="538"/>
      <c r="M3" s="539"/>
    </row>
    <row r="4" spans="1:13" x14ac:dyDescent="0.25">
      <c r="A4" s="61"/>
      <c r="C4" s="104" t="s">
        <v>514</v>
      </c>
      <c r="D4" s="104" t="s">
        <v>515</v>
      </c>
      <c r="E4" s="104" t="s">
        <v>516</v>
      </c>
      <c r="J4" s="62"/>
      <c r="K4" s="63"/>
      <c r="L4" s="63"/>
      <c r="M4" s="64"/>
    </row>
    <row r="5" spans="1:13" x14ac:dyDescent="0.25">
      <c r="A5" s="572" t="s">
        <v>11</v>
      </c>
      <c r="B5" s="573"/>
      <c r="C5" s="105" t="s">
        <v>529</v>
      </c>
      <c r="D5" s="105" t="s">
        <v>517</v>
      </c>
      <c r="E5" s="105" t="s">
        <v>523</v>
      </c>
      <c r="J5" s="65"/>
      <c r="K5" s="66"/>
      <c r="L5" s="67" t="s">
        <v>82</v>
      </c>
      <c r="M5" s="68"/>
    </row>
    <row r="6" spans="1:13" x14ac:dyDescent="0.25">
      <c r="A6" s="572" t="s">
        <v>12</v>
      </c>
      <c r="B6" s="573"/>
      <c r="C6" s="105" t="s">
        <v>530</v>
      </c>
      <c r="D6" s="105" t="s">
        <v>518</v>
      </c>
      <c r="E6" s="105" t="s">
        <v>524</v>
      </c>
      <c r="J6" s="65"/>
      <c r="K6" s="71"/>
      <c r="L6" s="67" t="s">
        <v>94</v>
      </c>
      <c r="M6" s="68"/>
    </row>
    <row r="7" spans="1:13" x14ac:dyDescent="0.25">
      <c r="A7" s="572" t="s">
        <v>13</v>
      </c>
      <c r="B7" s="573"/>
      <c r="C7" s="105" t="s">
        <v>531</v>
      </c>
      <c r="D7" s="105" t="s">
        <v>519</v>
      </c>
      <c r="E7" s="105" t="s">
        <v>528</v>
      </c>
      <c r="J7" s="65"/>
      <c r="K7" s="72"/>
      <c r="L7" s="67" t="s">
        <v>83</v>
      </c>
      <c r="M7" s="68"/>
    </row>
    <row r="8" spans="1:13" ht="15.75" thickBot="1" x14ac:dyDescent="0.3">
      <c r="A8" s="572" t="s">
        <v>14</v>
      </c>
      <c r="B8" s="573"/>
      <c r="C8" s="105" t="s">
        <v>532</v>
      </c>
      <c r="D8" s="105" t="s">
        <v>520</v>
      </c>
      <c r="E8" s="105" t="s">
        <v>525</v>
      </c>
      <c r="J8" s="73"/>
      <c r="K8" s="74"/>
      <c r="L8" s="74"/>
      <c r="M8" s="75"/>
    </row>
    <row r="9" spans="1:13" x14ac:dyDescent="0.25">
      <c r="A9" s="572" t="s">
        <v>15</v>
      </c>
      <c r="B9" s="573"/>
      <c r="C9" s="105" t="s">
        <v>533</v>
      </c>
      <c r="D9" s="105" t="s">
        <v>520</v>
      </c>
      <c r="E9" s="105" t="s">
        <v>525</v>
      </c>
    </row>
    <row r="10" spans="1:13" x14ac:dyDescent="0.25">
      <c r="A10" s="572" t="s">
        <v>16</v>
      </c>
      <c r="B10" s="573"/>
      <c r="C10" s="105" t="s">
        <v>534</v>
      </c>
      <c r="D10" s="105" t="s">
        <v>521</v>
      </c>
      <c r="E10" s="105" t="s">
        <v>526</v>
      </c>
    </row>
    <row r="11" spans="1:13" x14ac:dyDescent="0.25">
      <c r="A11" s="572" t="s">
        <v>17</v>
      </c>
      <c r="B11" s="573"/>
      <c r="C11" s="105" t="s">
        <v>535</v>
      </c>
      <c r="D11" s="105" t="s">
        <v>522</v>
      </c>
      <c r="E11" s="105" t="s">
        <v>527</v>
      </c>
    </row>
    <row r="12" spans="1:13" ht="15.75" x14ac:dyDescent="0.25">
      <c r="A12" s="60"/>
      <c r="B12" s="106"/>
      <c r="C12" s="107"/>
    </row>
    <row r="13" spans="1:13" x14ac:dyDescent="0.25">
      <c r="A13" s="108" t="s">
        <v>536</v>
      </c>
      <c r="B13" s="78"/>
      <c r="C13" s="78"/>
      <c r="D13" s="78"/>
      <c r="E13" s="78"/>
      <c r="F13" s="78"/>
      <c r="G13" s="78"/>
      <c r="H13" s="78"/>
      <c r="I13" s="78"/>
      <c r="J13" s="78"/>
      <c r="K13" s="78"/>
    </row>
    <row r="14" spans="1:13" x14ac:dyDescent="0.25">
      <c r="A14" s="108"/>
      <c r="B14" s="78"/>
      <c r="C14" s="78"/>
      <c r="D14" s="78"/>
      <c r="E14" s="78"/>
      <c r="F14" s="78"/>
      <c r="G14" s="78"/>
      <c r="H14" s="78"/>
      <c r="I14" s="78"/>
      <c r="J14" s="78"/>
      <c r="K14" s="78"/>
    </row>
    <row r="15" spans="1:13" x14ac:dyDescent="0.25">
      <c r="A15" s="108" t="s">
        <v>537</v>
      </c>
      <c r="B15" s="78"/>
      <c r="C15" s="78"/>
      <c r="D15" s="78"/>
      <c r="E15" s="78"/>
      <c r="F15" s="78"/>
      <c r="G15" s="78"/>
      <c r="H15" s="78"/>
      <c r="I15" s="78"/>
      <c r="J15" s="78"/>
      <c r="K15" s="78"/>
    </row>
    <row r="16" spans="1:13" x14ac:dyDescent="0.25">
      <c r="A16" s="108"/>
      <c r="B16" s="78"/>
      <c r="C16" s="78"/>
      <c r="D16" s="78"/>
      <c r="E16" s="78"/>
      <c r="F16" s="78"/>
      <c r="G16" s="78"/>
      <c r="H16" s="78"/>
      <c r="I16" s="78"/>
      <c r="J16" s="78"/>
      <c r="K16" s="78"/>
    </row>
    <row r="17" spans="1:19" x14ac:dyDescent="0.25">
      <c r="A17" s="587" t="s">
        <v>8</v>
      </c>
      <c r="B17" s="588"/>
      <c r="C17" s="586" t="s">
        <v>6</v>
      </c>
      <c r="D17" s="586"/>
      <c r="E17" s="586" t="s">
        <v>7</v>
      </c>
      <c r="F17" s="586"/>
    </row>
    <row r="18" spans="1:19" x14ac:dyDescent="0.25">
      <c r="A18" s="589"/>
      <c r="B18" s="590"/>
      <c r="C18" s="109" t="s">
        <v>9</v>
      </c>
      <c r="D18" s="109" t="s">
        <v>10</v>
      </c>
      <c r="E18" s="109" t="s">
        <v>9</v>
      </c>
      <c r="F18" s="109" t="s">
        <v>10</v>
      </c>
    </row>
    <row r="19" spans="1:19" ht="15" customHeight="1" x14ac:dyDescent="0.25">
      <c r="A19" s="584" t="s">
        <v>11</v>
      </c>
      <c r="B19" s="585"/>
      <c r="C19" s="114">
        <v>11</v>
      </c>
      <c r="D19" s="114"/>
      <c r="E19" s="114"/>
      <c r="F19" s="114"/>
    </row>
    <row r="20" spans="1:19" x14ac:dyDescent="0.25">
      <c r="A20" s="584" t="s">
        <v>12</v>
      </c>
      <c r="B20" s="585"/>
      <c r="C20" s="114"/>
      <c r="D20" s="114"/>
      <c r="E20" s="114"/>
      <c r="F20" s="114"/>
    </row>
    <row r="21" spans="1:19" x14ac:dyDescent="0.25">
      <c r="A21" s="584" t="s">
        <v>13</v>
      </c>
      <c r="B21" s="585"/>
      <c r="C21" s="114">
        <v>13</v>
      </c>
      <c r="D21" s="114"/>
      <c r="E21" s="114">
        <v>13</v>
      </c>
      <c r="F21" s="114"/>
    </row>
    <row r="22" spans="1:19" x14ac:dyDescent="0.25">
      <c r="A22" s="584" t="s">
        <v>14</v>
      </c>
      <c r="B22" s="585"/>
      <c r="C22" s="114"/>
      <c r="D22" s="114"/>
      <c r="E22" s="114">
        <v>5</v>
      </c>
      <c r="F22" s="114"/>
    </row>
    <row r="23" spans="1:19" x14ac:dyDescent="0.25">
      <c r="A23" s="584" t="s">
        <v>15</v>
      </c>
      <c r="B23" s="585"/>
      <c r="C23" s="114"/>
      <c r="D23" s="114"/>
      <c r="E23" s="114"/>
      <c r="F23" s="114"/>
    </row>
    <row r="24" spans="1:19" x14ac:dyDescent="0.25">
      <c r="A24" s="584" t="s">
        <v>16</v>
      </c>
      <c r="B24" s="585"/>
      <c r="C24" s="114"/>
      <c r="D24" s="114"/>
      <c r="E24" s="114"/>
      <c r="F24" s="114"/>
    </row>
    <row r="25" spans="1:19" x14ac:dyDescent="0.25">
      <c r="A25" s="584" t="s">
        <v>17</v>
      </c>
      <c r="B25" s="585"/>
      <c r="C25" s="114"/>
      <c r="D25" s="114"/>
      <c r="E25" s="114"/>
      <c r="F25" s="114"/>
      <c r="G25" s="110"/>
    </row>
    <row r="27" spans="1:19" x14ac:dyDescent="0.25">
      <c r="A27" s="108" t="s">
        <v>538</v>
      </c>
      <c r="B27" s="78"/>
    </row>
    <row r="28" spans="1:19" x14ac:dyDescent="0.25">
      <c r="A28" s="108"/>
      <c r="B28" s="78"/>
    </row>
    <row r="29" spans="1:19" x14ac:dyDescent="0.25">
      <c r="A29" s="587" t="s">
        <v>8</v>
      </c>
      <c r="B29" s="588"/>
      <c r="C29" s="595"/>
      <c r="D29" s="591" t="s">
        <v>120</v>
      </c>
      <c r="E29" s="570" t="s">
        <v>6</v>
      </c>
      <c r="F29" s="571"/>
      <c r="G29" s="570" t="s">
        <v>7</v>
      </c>
      <c r="H29" s="571"/>
    </row>
    <row r="30" spans="1:19" x14ac:dyDescent="0.25">
      <c r="A30" s="589"/>
      <c r="B30" s="590"/>
      <c r="C30" s="596"/>
      <c r="D30" s="592"/>
      <c r="E30" s="109" t="s">
        <v>9</v>
      </c>
      <c r="F30" s="109" t="s">
        <v>10</v>
      </c>
      <c r="G30" s="109" t="s">
        <v>9</v>
      </c>
      <c r="H30" s="109" t="s">
        <v>10</v>
      </c>
    </row>
    <row r="31" spans="1:19" x14ac:dyDescent="0.25">
      <c r="A31" s="575" t="s">
        <v>129</v>
      </c>
      <c r="B31" s="576"/>
      <c r="C31" s="577"/>
      <c r="D31" s="111">
        <v>0</v>
      </c>
      <c r="E31" s="114"/>
      <c r="F31" s="114"/>
      <c r="G31" s="114"/>
      <c r="H31" s="114"/>
      <c r="L31" s="110"/>
      <c r="O31" s="524">
        <f t="shared" ref="O31:O62" si="0">VLOOKUP(D31,$R$31:$S$36,2,TRUE)</f>
        <v>0.06</v>
      </c>
      <c r="P31" s="110">
        <f t="shared" ref="P31:P62" si="1">SUM(E31:H31)</f>
        <v>0</v>
      </c>
      <c r="Q31" s="59">
        <f>O31*P31</f>
        <v>0</v>
      </c>
      <c r="R31" s="59">
        <v>0</v>
      </c>
      <c r="S31" s="523">
        <v>0.06</v>
      </c>
    </row>
    <row r="32" spans="1:19" x14ac:dyDescent="0.25">
      <c r="A32" s="578"/>
      <c r="B32" s="579"/>
      <c r="C32" s="580"/>
      <c r="D32" s="112">
        <v>1</v>
      </c>
      <c r="E32" s="114"/>
      <c r="F32" s="114"/>
      <c r="G32" s="114"/>
      <c r="H32" s="114"/>
      <c r="O32" s="524">
        <f t="shared" si="0"/>
        <v>0.06</v>
      </c>
      <c r="P32" s="110">
        <f t="shared" si="1"/>
        <v>0</v>
      </c>
      <c r="Q32" s="59">
        <f t="shared" ref="Q32:Q95" si="2">O32*P32</f>
        <v>0</v>
      </c>
      <c r="R32" s="59">
        <v>2</v>
      </c>
      <c r="S32" s="523">
        <v>7.0000000000000007E-2</v>
      </c>
    </row>
    <row r="33" spans="1:22" x14ac:dyDescent="0.25">
      <c r="A33" s="578"/>
      <c r="B33" s="579"/>
      <c r="C33" s="580"/>
      <c r="D33" s="112">
        <v>2</v>
      </c>
      <c r="E33" s="114"/>
      <c r="F33" s="114"/>
      <c r="G33" s="114"/>
      <c r="H33" s="114"/>
      <c r="O33" s="524">
        <f t="shared" si="0"/>
        <v>7.0000000000000007E-2</v>
      </c>
      <c r="P33" s="110">
        <f t="shared" si="1"/>
        <v>0</v>
      </c>
      <c r="Q33" s="59">
        <f t="shared" si="2"/>
        <v>0</v>
      </c>
      <c r="R33" s="59">
        <v>4</v>
      </c>
      <c r="S33" s="523">
        <v>0.08</v>
      </c>
      <c r="T33" s="110"/>
      <c r="U33" s="110"/>
      <c r="V33" s="110"/>
    </row>
    <row r="34" spans="1:22" x14ac:dyDescent="0.25">
      <c r="A34" s="578"/>
      <c r="B34" s="579"/>
      <c r="C34" s="580"/>
      <c r="D34" s="112">
        <v>3</v>
      </c>
      <c r="E34" s="114"/>
      <c r="F34" s="114"/>
      <c r="G34" s="114"/>
      <c r="H34" s="114"/>
      <c r="O34" s="524">
        <f t="shared" si="0"/>
        <v>7.0000000000000007E-2</v>
      </c>
      <c r="P34" s="110">
        <f t="shared" si="1"/>
        <v>0</v>
      </c>
      <c r="Q34" s="59">
        <f t="shared" si="2"/>
        <v>0</v>
      </c>
      <c r="R34" s="59">
        <v>6</v>
      </c>
      <c r="S34" s="523">
        <v>0.09</v>
      </c>
    </row>
    <row r="35" spans="1:22" x14ac:dyDescent="0.25">
      <c r="A35" s="578"/>
      <c r="B35" s="579"/>
      <c r="C35" s="580"/>
      <c r="D35" s="112">
        <v>4</v>
      </c>
      <c r="E35" s="114"/>
      <c r="F35" s="114"/>
      <c r="G35" s="114"/>
      <c r="H35" s="114"/>
      <c r="O35" s="524">
        <f t="shared" si="0"/>
        <v>0.08</v>
      </c>
      <c r="P35" s="110">
        <f t="shared" si="1"/>
        <v>0</v>
      </c>
      <c r="Q35" s="59">
        <f t="shared" si="2"/>
        <v>0</v>
      </c>
      <c r="R35" s="59">
        <v>8</v>
      </c>
      <c r="S35" s="523">
        <v>0.1</v>
      </c>
    </row>
    <row r="36" spans="1:22" x14ac:dyDescent="0.25">
      <c r="A36" s="578"/>
      <c r="B36" s="579"/>
      <c r="C36" s="580"/>
      <c r="D36" s="112">
        <v>5</v>
      </c>
      <c r="E36" s="114">
        <v>11</v>
      </c>
      <c r="F36" s="114"/>
      <c r="G36" s="114"/>
      <c r="H36" s="114"/>
      <c r="O36" s="524">
        <f t="shared" si="0"/>
        <v>0.08</v>
      </c>
      <c r="P36" s="110">
        <f t="shared" si="1"/>
        <v>11</v>
      </c>
      <c r="Q36" s="59">
        <f t="shared" si="2"/>
        <v>0.88</v>
      </c>
      <c r="R36" s="59">
        <v>10</v>
      </c>
      <c r="S36" s="523">
        <v>0.12</v>
      </c>
    </row>
    <row r="37" spans="1:22" x14ac:dyDescent="0.25">
      <c r="A37" s="578"/>
      <c r="B37" s="579"/>
      <c r="C37" s="580"/>
      <c r="D37" s="111">
        <v>6</v>
      </c>
      <c r="E37" s="114"/>
      <c r="F37" s="114"/>
      <c r="G37" s="114"/>
      <c r="H37" s="114"/>
      <c r="O37" s="524">
        <f t="shared" si="0"/>
        <v>0.09</v>
      </c>
      <c r="P37" s="110">
        <f t="shared" si="1"/>
        <v>0</v>
      </c>
      <c r="Q37" s="59">
        <f t="shared" si="2"/>
        <v>0</v>
      </c>
    </row>
    <row r="38" spans="1:22" x14ac:dyDescent="0.25">
      <c r="A38" s="578"/>
      <c r="B38" s="579"/>
      <c r="C38" s="580"/>
      <c r="D38" s="112">
        <v>7</v>
      </c>
      <c r="E38" s="114"/>
      <c r="F38" s="114"/>
      <c r="G38" s="114"/>
      <c r="H38" s="114"/>
      <c r="O38" s="524">
        <f t="shared" si="0"/>
        <v>0.09</v>
      </c>
      <c r="P38" s="110">
        <f t="shared" si="1"/>
        <v>0</v>
      </c>
      <c r="Q38" s="59">
        <f t="shared" si="2"/>
        <v>0</v>
      </c>
    </row>
    <row r="39" spans="1:22" x14ac:dyDescent="0.25">
      <c r="A39" s="578"/>
      <c r="B39" s="579"/>
      <c r="C39" s="580"/>
      <c r="D39" s="112">
        <v>8</v>
      </c>
      <c r="E39" s="114"/>
      <c r="F39" s="114"/>
      <c r="G39" s="114"/>
      <c r="H39" s="114"/>
      <c r="O39" s="524">
        <f t="shared" si="0"/>
        <v>0.1</v>
      </c>
      <c r="P39" s="110">
        <f t="shared" si="1"/>
        <v>0</v>
      </c>
      <c r="Q39" s="59">
        <f t="shared" si="2"/>
        <v>0</v>
      </c>
    </row>
    <row r="40" spans="1:22" x14ac:dyDescent="0.25">
      <c r="A40" s="578"/>
      <c r="B40" s="579"/>
      <c r="C40" s="580"/>
      <c r="D40" s="112">
        <v>9</v>
      </c>
      <c r="E40" s="114"/>
      <c r="F40" s="114"/>
      <c r="G40" s="114"/>
      <c r="H40" s="114"/>
      <c r="O40" s="524">
        <f t="shared" si="0"/>
        <v>0.1</v>
      </c>
      <c r="P40" s="110">
        <f t="shared" si="1"/>
        <v>0</v>
      </c>
      <c r="Q40" s="59">
        <f t="shared" si="2"/>
        <v>0</v>
      </c>
    </row>
    <row r="41" spans="1:22" x14ac:dyDescent="0.25">
      <c r="A41" s="581"/>
      <c r="B41" s="582"/>
      <c r="C41" s="583"/>
      <c r="D41" s="112">
        <v>10</v>
      </c>
      <c r="E41" s="114"/>
      <c r="F41" s="114"/>
      <c r="G41" s="114"/>
      <c r="H41" s="114"/>
      <c r="O41" s="524">
        <f t="shared" si="0"/>
        <v>0.12</v>
      </c>
      <c r="P41" s="110">
        <f t="shared" si="1"/>
        <v>0</v>
      </c>
      <c r="Q41" s="59">
        <f t="shared" si="2"/>
        <v>0</v>
      </c>
    </row>
    <row r="42" spans="1:22" x14ac:dyDescent="0.25">
      <c r="A42" s="575" t="s">
        <v>12</v>
      </c>
      <c r="B42" s="576"/>
      <c r="C42" s="577"/>
      <c r="D42" s="112">
        <v>0</v>
      </c>
      <c r="E42" s="114"/>
      <c r="F42" s="114"/>
      <c r="G42" s="114"/>
      <c r="H42" s="114"/>
      <c r="O42" s="524">
        <f t="shared" si="0"/>
        <v>0.06</v>
      </c>
      <c r="P42" s="110">
        <f t="shared" si="1"/>
        <v>0</v>
      </c>
      <c r="Q42" s="59">
        <f t="shared" si="2"/>
        <v>0</v>
      </c>
    </row>
    <row r="43" spans="1:22" x14ac:dyDescent="0.25">
      <c r="A43" s="578"/>
      <c r="B43" s="579"/>
      <c r="C43" s="580"/>
      <c r="D43" s="112">
        <v>1</v>
      </c>
      <c r="E43" s="114"/>
      <c r="F43" s="114"/>
      <c r="G43" s="114"/>
      <c r="H43" s="114"/>
      <c r="O43" s="524">
        <f t="shared" si="0"/>
        <v>0.06</v>
      </c>
      <c r="P43" s="110">
        <f t="shared" si="1"/>
        <v>0</v>
      </c>
      <c r="Q43" s="59">
        <f t="shared" si="2"/>
        <v>0</v>
      </c>
    </row>
    <row r="44" spans="1:22" x14ac:dyDescent="0.25">
      <c r="A44" s="578"/>
      <c r="B44" s="579"/>
      <c r="C44" s="580"/>
      <c r="D44" s="112">
        <v>2</v>
      </c>
      <c r="E44" s="114"/>
      <c r="F44" s="114"/>
      <c r="G44" s="114"/>
      <c r="H44" s="114"/>
      <c r="O44" s="524">
        <f t="shared" si="0"/>
        <v>7.0000000000000007E-2</v>
      </c>
      <c r="P44" s="110">
        <f t="shared" si="1"/>
        <v>0</v>
      </c>
      <c r="Q44" s="59">
        <f t="shared" si="2"/>
        <v>0</v>
      </c>
    </row>
    <row r="45" spans="1:22" x14ac:dyDescent="0.25">
      <c r="A45" s="578"/>
      <c r="B45" s="579"/>
      <c r="C45" s="580"/>
      <c r="D45" s="112">
        <v>3</v>
      </c>
      <c r="E45" s="114"/>
      <c r="F45" s="114"/>
      <c r="G45" s="114"/>
      <c r="H45" s="114"/>
      <c r="O45" s="524">
        <f t="shared" si="0"/>
        <v>7.0000000000000007E-2</v>
      </c>
      <c r="P45" s="110">
        <f t="shared" si="1"/>
        <v>0</v>
      </c>
      <c r="Q45" s="59">
        <f t="shared" si="2"/>
        <v>0</v>
      </c>
    </row>
    <row r="46" spans="1:22" x14ac:dyDescent="0.25">
      <c r="A46" s="578"/>
      <c r="B46" s="579"/>
      <c r="C46" s="580"/>
      <c r="D46" s="112">
        <v>4</v>
      </c>
      <c r="E46" s="114"/>
      <c r="F46" s="114"/>
      <c r="G46" s="114"/>
      <c r="H46" s="114"/>
      <c r="O46" s="524">
        <f t="shared" si="0"/>
        <v>0.08</v>
      </c>
      <c r="P46" s="110">
        <f t="shared" si="1"/>
        <v>0</v>
      </c>
      <c r="Q46" s="59">
        <f t="shared" si="2"/>
        <v>0</v>
      </c>
    </row>
    <row r="47" spans="1:22" x14ac:dyDescent="0.25">
      <c r="A47" s="581"/>
      <c r="B47" s="582"/>
      <c r="C47" s="583"/>
      <c r="D47" s="112">
        <v>5</v>
      </c>
      <c r="E47" s="114"/>
      <c r="F47" s="114"/>
      <c r="G47" s="114"/>
      <c r="H47" s="114"/>
      <c r="O47" s="524">
        <f t="shared" si="0"/>
        <v>0.08</v>
      </c>
      <c r="P47" s="110">
        <f t="shared" si="1"/>
        <v>0</v>
      </c>
      <c r="Q47" s="59">
        <f t="shared" si="2"/>
        <v>0</v>
      </c>
    </row>
    <row r="48" spans="1:22" x14ac:dyDescent="0.25">
      <c r="A48" s="575" t="s">
        <v>13</v>
      </c>
      <c r="B48" s="576"/>
      <c r="C48" s="577"/>
      <c r="D48" s="112">
        <v>0</v>
      </c>
      <c r="E48" s="114"/>
      <c r="F48" s="114"/>
      <c r="G48" s="114"/>
      <c r="H48" s="114"/>
      <c r="O48" s="524">
        <f t="shared" si="0"/>
        <v>0.06</v>
      </c>
      <c r="P48" s="110">
        <f t="shared" si="1"/>
        <v>0</v>
      </c>
      <c r="Q48" s="59">
        <f t="shared" si="2"/>
        <v>0</v>
      </c>
    </row>
    <row r="49" spans="1:17" x14ac:dyDescent="0.25">
      <c r="A49" s="578"/>
      <c r="B49" s="579"/>
      <c r="C49" s="580"/>
      <c r="D49" s="112">
        <v>1</v>
      </c>
      <c r="E49" s="114"/>
      <c r="F49" s="114"/>
      <c r="G49" s="114"/>
      <c r="H49" s="114"/>
      <c r="O49" s="524">
        <f t="shared" si="0"/>
        <v>0.06</v>
      </c>
      <c r="P49" s="110">
        <f t="shared" si="1"/>
        <v>0</v>
      </c>
      <c r="Q49" s="59">
        <f t="shared" si="2"/>
        <v>0</v>
      </c>
    </row>
    <row r="50" spans="1:17" x14ac:dyDescent="0.25">
      <c r="A50" s="578"/>
      <c r="B50" s="579"/>
      <c r="C50" s="580"/>
      <c r="D50" s="112">
        <v>2</v>
      </c>
      <c r="E50" s="114"/>
      <c r="F50" s="114"/>
      <c r="G50" s="114"/>
      <c r="H50" s="114"/>
      <c r="O50" s="524">
        <f t="shared" si="0"/>
        <v>7.0000000000000007E-2</v>
      </c>
      <c r="P50" s="110">
        <f t="shared" si="1"/>
        <v>0</v>
      </c>
      <c r="Q50" s="59">
        <f t="shared" si="2"/>
        <v>0</v>
      </c>
    </row>
    <row r="51" spans="1:17" x14ac:dyDescent="0.25">
      <c r="A51" s="578"/>
      <c r="B51" s="579"/>
      <c r="C51" s="580"/>
      <c r="D51" s="112">
        <v>3</v>
      </c>
      <c r="E51" s="114"/>
      <c r="F51" s="114"/>
      <c r="G51" s="114"/>
      <c r="H51" s="114"/>
      <c r="O51" s="524">
        <f t="shared" si="0"/>
        <v>7.0000000000000007E-2</v>
      </c>
      <c r="P51" s="110">
        <f t="shared" si="1"/>
        <v>0</v>
      </c>
      <c r="Q51" s="59">
        <f t="shared" si="2"/>
        <v>0</v>
      </c>
    </row>
    <row r="52" spans="1:17" x14ac:dyDescent="0.25">
      <c r="A52" s="578"/>
      <c r="B52" s="579"/>
      <c r="C52" s="580"/>
      <c r="D52" s="112">
        <v>4</v>
      </c>
      <c r="E52" s="114"/>
      <c r="F52" s="114"/>
      <c r="G52" s="114"/>
      <c r="H52" s="114"/>
      <c r="O52" s="524">
        <f t="shared" si="0"/>
        <v>0.08</v>
      </c>
      <c r="P52" s="110">
        <f t="shared" si="1"/>
        <v>0</v>
      </c>
      <c r="Q52" s="59">
        <f t="shared" si="2"/>
        <v>0</v>
      </c>
    </row>
    <row r="53" spans="1:17" x14ac:dyDescent="0.25">
      <c r="A53" s="578"/>
      <c r="B53" s="579"/>
      <c r="C53" s="580"/>
      <c r="D53" s="112">
        <v>5</v>
      </c>
      <c r="E53" s="114">
        <v>13</v>
      </c>
      <c r="F53" s="114"/>
      <c r="G53" s="114">
        <v>13</v>
      </c>
      <c r="H53" s="114"/>
      <c r="O53" s="524">
        <f t="shared" si="0"/>
        <v>0.08</v>
      </c>
      <c r="P53" s="110">
        <f t="shared" si="1"/>
        <v>26</v>
      </c>
      <c r="Q53" s="59">
        <f t="shared" si="2"/>
        <v>2.08</v>
      </c>
    </row>
    <row r="54" spans="1:17" x14ac:dyDescent="0.25">
      <c r="A54" s="578"/>
      <c r="B54" s="579"/>
      <c r="C54" s="580"/>
      <c r="D54" s="112">
        <v>6</v>
      </c>
      <c r="E54" s="114"/>
      <c r="F54" s="114"/>
      <c r="G54" s="114"/>
      <c r="H54" s="114"/>
      <c r="O54" s="524">
        <f t="shared" si="0"/>
        <v>0.09</v>
      </c>
      <c r="P54" s="110">
        <f t="shared" si="1"/>
        <v>0</v>
      </c>
      <c r="Q54" s="59">
        <f t="shared" si="2"/>
        <v>0</v>
      </c>
    </row>
    <row r="55" spans="1:17" x14ac:dyDescent="0.25">
      <c r="A55" s="578"/>
      <c r="B55" s="579"/>
      <c r="C55" s="580"/>
      <c r="D55" s="112">
        <v>7</v>
      </c>
      <c r="E55" s="114"/>
      <c r="F55" s="114"/>
      <c r="G55" s="114"/>
      <c r="H55" s="114"/>
      <c r="O55" s="524">
        <f t="shared" si="0"/>
        <v>0.09</v>
      </c>
      <c r="P55" s="110">
        <f t="shared" si="1"/>
        <v>0</v>
      </c>
      <c r="Q55" s="59">
        <f t="shared" si="2"/>
        <v>0</v>
      </c>
    </row>
    <row r="56" spans="1:17" x14ac:dyDescent="0.25">
      <c r="A56" s="578"/>
      <c r="B56" s="579"/>
      <c r="C56" s="580"/>
      <c r="D56" s="112">
        <v>8</v>
      </c>
      <c r="E56" s="114"/>
      <c r="F56" s="114"/>
      <c r="G56" s="114"/>
      <c r="H56" s="114"/>
      <c r="O56" s="524">
        <f t="shared" si="0"/>
        <v>0.1</v>
      </c>
      <c r="P56" s="110">
        <f t="shared" si="1"/>
        <v>0</v>
      </c>
      <c r="Q56" s="59">
        <f t="shared" si="2"/>
        <v>0</v>
      </c>
    </row>
    <row r="57" spans="1:17" x14ac:dyDescent="0.25">
      <c r="A57" s="578"/>
      <c r="B57" s="579"/>
      <c r="C57" s="580"/>
      <c r="D57" s="112">
        <v>9</v>
      </c>
      <c r="E57" s="114"/>
      <c r="F57" s="114"/>
      <c r="G57" s="114"/>
      <c r="H57" s="114"/>
      <c r="O57" s="524">
        <f t="shared" si="0"/>
        <v>0.1</v>
      </c>
      <c r="P57" s="110">
        <f t="shared" si="1"/>
        <v>0</v>
      </c>
      <c r="Q57" s="59">
        <f t="shared" si="2"/>
        <v>0</v>
      </c>
    </row>
    <row r="58" spans="1:17" x14ac:dyDescent="0.25">
      <c r="A58" s="578"/>
      <c r="B58" s="579"/>
      <c r="C58" s="580"/>
      <c r="D58" s="112">
        <v>10</v>
      </c>
      <c r="E58" s="114"/>
      <c r="F58" s="114"/>
      <c r="G58" s="114"/>
      <c r="H58" s="114"/>
      <c r="O58" s="524">
        <f t="shared" si="0"/>
        <v>0.12</v>
      </c>
      <c r="P58" s="110">
        <f t="shared" si="1"/>
        <v>0</v>
      </c>
      <c r="Q58" s="59">
        <f t="shared" si="2"/>
        <v>0</v>
      </c>
    </row>
    <row r="59" spans="1:17" x14ac:dyDescent="0.25">
      <c r="A59" s="578"/>
      <c r="B59" s="579"/>
      <c r="C59" s="580"/>
      <c r="D59" s="112">
        <v>11</v>
      </c>
      <c r="E59" s="114"/>
      <c r="F59" s="114"/>
      <c r="G59" s="114"/>
      <c r="H59" s="114"/>
      <c r="O59" s="524">
        <f t="shared" si="0"/>
        <v>0.12</v>
      </c>
      <c r="P59" s="110">
        <f t="shared" si="1"/>
        <v>0</v>
      </c>
      <c r="Q59" s="59">
        <f t="shared" si="2"/>
        <v>0</v>
      </c>
    </row>
    <row r="60" spans="1:17" x14ac:dyDescent="0.25">
      <c r="A60" s="581"/>
      <c r="B60" s="582"/>
      <c r="C60" s="583"/>
      <c r="D60" s="112">
        <v>12</v>
      </c>
      <c r="E60" s="114"/>
      <c r="F60" s="114"/>
      <c r="G60" s="114"/>
      <c r="H60" s="114"/>
      <c r="O60" s="524">
        <f t="shared" si="0"/>
        <v>0.12</v>
      </c>
      <c r="P60" s="110">
        <f t="shared" si="1"/>
        <v>0</v>
      </c>
      <c r="Q60" s="59">
        <f t="shared" si="2"/>
        <v>0</v>
      </c>
    </row>
    <row r="61" spans="1:17" x14ac:dyDescent="0.25">
      <c r="A61" s="575" t="s">
        <v>14</v>
      </c>
      <c r="B61" s="576"/>
      <c r="C61" s="577"/>
      <c r="D61" s="112">
        <v>0</v>
      </c>
      <c r="E61" s="114"/>
      <c r="F61" s="114"/>
      <c r="G61" s="114"/>
      <c r="H61" s="114"/>
      <c r="O61" s="524">
        <f t="shared" si="0"/>
        <v>0.06</v>
      </c>
      <c r="P61" s="110">
        <f t="shared" si="1"/>
        <v>0</v>
      </c>
      <c r="Q61" s="59">
        <f t="shared" si="2"/>
        <v>0</v>
      </c>
    </row>
    <row r="62" spans="1:17" x14ac:dyDescent="0.25">
      <c r="A62" s="578"/>
      <c r="B62" s="579"/>
      <c r="C62" s="580"/>
      <c r="D62" s="112">
        <v>1</v>
      </c>
      <c r="E62" s="114"/>
      <c r="F62" s="114"/>
      <c r="G62" s="114"/>
      <c r="H62" s="114"/>
      <c r="O62" s="524">
        <f t="shared" si="0"/>
        <v>0.06</v>
      </c>
      <c r="P62" s="110">
        <f t="shared" si="1"/>
        <v>0</v>
      </c>
      <c r="Q62" s="59">
        <f t="shared" si="2"/>
        <v>0</v>
      </c>
    </row>
    <row r="63" spans="1:17" x14ac:dyDescent="0.25">
      <c r="A63" s="578"/>
      <c r="B63" s="579"/>
      <c r="C63" s="580"/>
      <c r="D63" s="112">
        <v>2</v>
      </c>
      <c r="E63" s="114"/>
      <c r="F63" s="114"/>
      <c r="G63" s="114"/>
      <c r="H63" s="114"/>
      <c r="O63" s="524">
        <f t="shared" ref="O63:O94" si="3">VLOOKUP(D63,$R$31:$S$36,2,TRUE)</f>
        <v>7.0000000000000007E-2</v>
      </c>
      <c r="P63" s="110">
        <f t="shared" ref="P63:P94" si="4">SUM(E63:H63)</f>
        <v>0</v>
      </c>
      <c r="Q63" s="59">
        <f t="shared" si="2"/>
        <v>0</v>
      </c>
    </row>
    <row r="64" spans="1:17" x14ac:dyDescent="0.25">
      <c r="A64" s="578"/>
      <c r="B64" s="579"/>
      <c r="C64" s="580"/>
      <c r="D64" s="112">
        <v>3</v>
      </c>
      <c r="E64" s="114"/>
      <c r="F64" s="114"/>
      <c r="G64" s="114"/>
      <c r="H64" s="114"/>
      <c r="O64" s="524">
        <f t="shared" si="3"/>
        <v>7.0000000000000007E-2</v>
      </c>
      <c r="P64" s="110">
        <f t="shared" si="4"/>
        <v>0</v>
      </c>
      <c r="Q64" s="59">
        <f t="shared" si="2"/>
        <v>0</v>
      </c>
    </row>
    <row r="65" spans="1:17" x14ac:dyDescent="0.25">
      <c r="A65" s="578"/>
      <c r="B65" s="579"/>
      <c r="C65" s="580"/>
      <c r="D65" s="112">
        <v>4</v>
      </c>
      <c r="E65" s="114"/>
      <c r="F65" s="114"/>
      <c r="G65" s="114"/>
      <c r="H65" s="114"/>
      <c r="O65" s="524">
        <f t="shared" si="3"/>
        <v>0.08</v>
      </c>
      <c r="P65" s="110">
        <f t="shared" si="4"/>
        <v>0</v>
      </c>
      <c r="Q65" s="59">
        <f t="shared" si="2"/>
        <v>0</v>
      </c>
    </row>
    <row r="66" spans="1:17" x14ac:dyDescent="0.25">
      <c r="A66" s="578"/>
      <c r="B66" s="579"/>
      <c r="C66" s="580"/>
      <c r="D66" s="112">
        <v>5</v>
      </c>
      <c r="E66" s="114"/>
      <c r="F66" s="114"/>
      <c r="G66" s="114">
        <v>5</v>
      </c>
      <c r="H66" s="114"/>
      <c r="O66" s="524">
        <f t="shared" si="3"/>
        <v>0.08</v>
      </c>
      <c r="P66" s="110">
        <f t="shared" si="4"/>
        <v>5</v>
      </c>
      <c r="Q66" s="59">
        <f t="shared" si="2"/>
        <v>0.4</v>
      </c>
    </row>
    <row r="67" spans="1:17" x14ac:dyDescent="0.25">
      <c r="A67" s="578"/>
      <c r="B67" s="579"/>
      <c r="C67" s="580"/>
      <c r="D67" s="112">
        <v>6</v>
      </c>
      <c r="E67" s="114"/>
      <c r="F67" s="114"/>
      <c r="G67" s="114"/>
      <c r="H67" s="114"/>
      <c r="O67" s="524">
        <f t="shared" si="3"/>
        <v>0.09</v>
      </c>
      <c r="P67" s="110">
        <f t="shared" si="4"/>
        <v>0</v>
      </c>
      <c r="Q67" s="59">
        <f t="shared" si="2"/>
        <v>0</v>
      </c>
    </row>
    <row r="68" spans="1:17" x14ac:dyDescent="0.25">
      <c r="A68" s="578"/>
      <c r="B68" s="579"/>
      <c r="C68" s="580"/>
      <c r="D68" s="112">
        <v>7</v>
      </c>
      <c r="E68" s="114"/>
      <c r="F68" s="114"/>
      <c r="G68" s="114"/>
      <c r="H68" s="114"/>
      <c r="O68" s="524">
        <f t="shared" si="3"/>
        <v>0.09</v>
      </c>
      <c r="P68" s="110">
        <f t="shared" si="4"/>
        <v>0</v>
      </c>
      <c r="Q68" s="59">
        <f t="shared" si="2"/>
        <v>0</v>
      </c>
    </row>
    <row r="69" spans="1:17" x14ac:dyDescent="0.25">
      <c r="A69" s="578"/>
      <c r="B69" s="579"/>
      <c r="C69" s="580"/>
      <c r="D69" s="112">
        <v>8</v>
      </c>
      <c r="E69" s="114"/>
      <c r="F69" s="114"/>
      <c r="G69" s="114"/>
      <c r="H69" s="114"/>
      <c r="O69" s="524">
        <f t="shared" si="3"/>
        <v>0.1</v>
      </c>
      <c r="P69" s="110">
        <f t="shared" si="4"/>
        <v>0</v>
      </c>
      <c r="Q69" s="59">
        <f t="shared" si="2"/>
        <v>0</v>
      </c>
    </row>
    <row r="70" spans="1:17" x14ac:dyDescent="0.25">
      <c r="A70" s="578"/>
      <c r="B70" s="579"/>
      <c r="C70" s="580"/>
      <c r="D70" s="112">
        <v>9</v>
      </c>
      <c r="E70" s="114"/>
      <c r="F70" s="114"/>
      <c r="G70" s="114"/>
      <c r="H70" s="114"/>
      <c r="O70" s="524">
        <f t="shared" si="3"/>
        <v>0.1</v>
      </c>
      <c r="P70" s="110">
        <f t="shared" si="4"/>
        <v>0</v>
      </c>
      <c r="Q70" s="59">
        <f t="shared" si="2"/>
        <v>0</v>
      </c>
    </row>
    <row r="71" spans="1:17" x14ac:dyDescent="0.25">
      <c r="A71" s="578"/>
      <c r="B71" s="579"/>
      <c r="C71" s="580"/>
      <c r="D71" s="112">
        <v>10</v>
      </c>
      <c r="E71" s="114"/>
      <c r="F71" s="114"/>
      <c r="G71" s="114"/>
      <c r="H71" s="114"/>
      <c r="O71" s="524">
        <f t="shared" si="3"/>
        <v>0.12</v>
      </c>
      <c r="P71" s="110">
        <f t="shared" si="4"/>
        <v>0</v>
      </c>
      <c r="Q71" s="59">
        <f t="shared" si="2"/>
        <v>0</v>
      </c>
    </row>
    <row r="72" spans="1:17" x14ac:dyDescent="0.25">
      <c r="A72" s="578"/>
      <c r="B72" s="579"/>
      <c r="C72" s="580"/>
      <c r="D72" s="112">
        <v>11</v>
      </c>
      <c r="E72" s="114"/>
      <c r="F72" s="114"/>
      <c r="G72" s="114"/>
      <c r="H72" s="114"/>
      <c r="O72" s="524">
        <f t="shared" si="3"/>
        <v>0.12</v>
      </c>
      <c r="P72" s="110">
        <f t="shared" si="4"/>
        <v>0</v>
      </c>
      <c r="Q72" s="59">
        <f t="shared" si="2"/>
        <v>0</v>
      </c>
    </row>
    <row r="73" spans="1:17" x14ac:dyDescent="0.25">
      <c r="A73" s="581"/>
      <c r="B73" s="582"/>
      <c r="C73" s="583"/>
      <c r="D73" s="112">
        <v>12</v>
      </c>
      <c r="E73" s="114"/>
      <c r="F73" s="114"/>
      <c r="G73" s="114"/>
      <c r="H73" s="114"/>
      <c r="O73" s="524">
        <f t="shared" si="3"/>
        <v>0.12</v>
      </c>
      <c r="P73" s="110">
        <f t="shared" si="4"/>
        <v>0</v>
      </c>
      <c r="Q73" s="59">
        <f t="shared" si="2"/>
        <v>0</v>
      </c>
    </row>
    <row r="74" spans="1:17" x14ac:dyDescent="0.25">
      <c r="A74" s="575" t="s">
        <v>15</v>
      </c>
      <c r="B74" s="576"/>
      <c r="C74" s="577"/>
      <c r="D74" s="112">
        <v>0</v>
      </c>
      <c r="E74" s="114"/>
      <c r="F74" s="114"/>
      <c r="G74" s="114"/>
      <c r="H74" s="114"/>
      <c r="O74" s="524">
        <f t="shared" si="3"/>
        <v>0.06</v>
      </c>
      <c r="P74" s="110">
        <f t="shared" si="4"/>
        <v>0</v>
      </c>
      <c r="Q74" s="59">
        <f t="shared" si="2"/>
        <v>0</v>
      </c>
    </row>
    <row r="75" spans="1:17" x14ac:dyDescent="0.25">
      <c r="A75" s="578"/>
      <c r="B75" s="579"/>
      <c r="C75" s="580"/>
      <c r="D75" s="112">
        <v>1</v>
      </c>
      <c r="E75" s="114"/>
      <c r="F75" s="114"/>
      <c r="G75" s="114"/>
      <c r="H75" s="114"/>
      <c r="O75" s="524">
        <f t="shared" si="3"/>
        <v>0.06</v>
      </c>
      <c r="P75" s="110">
        <f t="shared" si="4"/>
        <v>0</v>
      </c>
      <c r="Q75" s="59">
        <f t="shared" si="2"/>
        <v>0</v>
      </c>
    </row>
    <row r="76" spans="1:17" x14ac:dyDescent="0.25">
      <c r="A76" s="578"/>
      <c r="B76" s="579"/>
      <c r="C76" s="580"/>
      <c r="D76" s="112">
        <v>2</v>
      </c>
      <c r="E76" s="114"/>
      <c r="F76" s="114"/>
      <c r="G76" s="114"/>
      <c r="H76" s="114"/>
      <c r="O76" s="524">
        <f t="shared" si="3"/>
        <v>7.0000000000000007E-2</v>
      </c>
      <c r="P76" s="110">
        <f t="shared" si="4"/>
        <v>0</v>
      </c>
      <c r="Q76" s="59">
        <f t="shared" si="2"/>
        <v>0</v>
      </c>
    </row>
    <row r="77" spans="1:17" x14ac:dyDescent="0.25">
      <c r="A77" s="578"/>
      <c r="B77" s="579"/>
      <c r="C77" s="580"/>
      <c r="D77" s="112">
        <v>3</v>
      </c>
      <c r="E77" s="114"/>
      <c r="F77" s="114"/>
      <c r="G77" s="114"/>
      <c r="H77" s="114"/>
      <c r="O77" s="524">
        <f t="shared" si="3"/>
        <v>7.0000000000000007E-2</v>
      </c>
      <c r="P77" s="110">
        <f t="shared" si="4"/>
        <v>0</v>
      </c>
      <c r="Q77" s="59">
        <f t="shared" si="2"/>
        <v>0</v>
      </c>
    </row>
    <row r="78" spans="1:17" x14ac:dyDescent="0.25">
      <c r="A78" s="578"/>
      <c r="B78" s="579"/>
      <c r="C78" s="580"/>
      <c r="D78" s="112">
        <v>4</v>
      </c>
      <c r="E78" s="114"/>
      <c r="F78" s="114"/>
      <c r="G78" s="114"/>
      <c r="H78" s="114"/>
      <c r="O78" s="524">
        <f t="shared" si="3"/>
        <v>0.08</v>
      </c>
      <c r="P78" s="110">
        <f t="shared" si="4"/>
        <v>0</v>
      </c>
      <c r="Q78" s="59">
        <f t="shared" si="2"/>
        <v>0</v>
      </c>
    </row>
    <row r="79" spans="1:17" x14ac:dyDescent="0.25">
      <c r="A79" s="578"/>
      <c r="B79" s="579"/>
      <c r="C79" s="580"/>
      <c r="D79" s="112">
        <v>5</v>
      </c>
      <c r="E79" s="114"/>
      <c r="F79" s="114"/>
      <c r="G79" s="114"/>
      <c r="H79" s="114"/>
      <c r="O79" s="524">
        <f t="shared" si="3"/>
        <v>0.08</v>
      </c>
      <c r="P79" s="110">
        <f t="shared" si="4"/>
        <v>0</v>
      </c>
      <c r="Q79" s="59">
        <f t="shared" si="2"/>
        <v>0</v>
      </c>
    </row>
    <row r="80" spans="1:17" x14ac:dyDescent="0.25">
      <c r="A80" s="578"/>
      <c r="B80" s="579"/>
      <c r="C80" s="580"/>
      <c r="D80" s="112">
        <v>6</v>
      </c>
      <c r="E80" s="114"/>
      <c r="F80" s="114"/>
      <c r="G80" s="114"/>
      <c r="H80" s="114"/>
      <c r="O80" s="524">
        <f t="shared" si="3"/>
        <v>0.09</v>
      </c>
      <c r="P80" s="110">
        <f t="shared" si="4"/>
        <v>0</v>
      </c>
      <c r="Q80" s="59">
        <f t="shared" si="2"/>
        <v>0</v>
      </c>
    </row>
    <row r="81" spans="1:17" x14ac:dyDescent="0.25">
      <c r="A81" s="578"/>
      <c r="B81" s="579"/>
      <c r="C81" s="580"/>
      <c r="D81" s="112">
        <v>7</v>
      </c>
      <c r="E81" s="114"/>
      <c r="F81" s="114"/>
      <c r="G81" s="114"/>
      <c r="H81" s="114"/>
      <c r="O81" s="524">
        <f t="shared" si="3"/>
        <v>0.09</v>
      </c>
      <c r="P81" s="110">
        <f t="shared" si="4"/>
        <v>0</v>
      </c>
      <c r="Q81" s="59">
        <f t="shared" si="2"/>
        <v>0</v>
      </c>
    </row>
    <row r="82" spans="1:17" x14ac:dyDescent="0.25">
      <c r="A82" s="578"/>
      <c r="B82" s="579"/>
      <c r="C82" s="580"/>
      <c r="D82" s="112">
        <v>8</v>
      </c>
      <c r="E82" s="114"/>
      <c r="F82" s="114"/>
      <c r="G82" s="114"/>
      <c r="H82" s="114"/>
      <c r="O82" s="524">
        <f t="shared" si="3"/>
        <v>0.1</v>
      </c>
      <c r="P82" s="110">
        <f t="shared" si="4"/>
        <v>0</v>
      </c>
      <c r="Q82" s="59">
        <f t="shared" si="2"/>
        <v>0</v>
      </c>
    </row>
    <row r="83" spans="1:17" x14ac:dyDescent="0.25">
      <c r="A83" s="578"/>
      <c r="B83" s="579"/>
      <c r="C83" s="580"/>
      <c r="D83" s="112">
        <v>9</v>
      </c>
      <c r="E83" s="114"/>
      <c r="F83" s="114"/>
      <c r="G83" s="114"/>
      <c r="H83" s="114"/>
      <c r="O83" s="524">
        <f t="shared" si="3"/>
        <v>0.1</v>
      </c>
      <c r="P83" s="110">
        <f t="shared" si="4"/>
        <v>0</v>
      </c>
      <c r="Q83" s="59">
        <f t="shared" si="2"/>
        <v>0</v>
      </c>
    </row>
    <row r="84" spans="1:17" x14ac:dyDescent="0.25">
      <c r="A84" s="581"/>
      <c r="B84" s="582"/>
      <c r="C84" s="583"/>
      <c r="D84" s="112">
        <v>10</v>
      </c>
      <c r="E84" s="114"/>
      <c r="F84" s="114"/>
      <c r="G84" s="114"/>
      <c r="H84" s="114"/>
      <c r="O84" s="524">
        <f t="shared" si="3"/>
        <v>0.12</v>
      </c>
      <c r="P84" s="110">
        <f t="shared" si="4"/>
        <v>0</v>
      </c>
      <c r="Q84" s="59">
        <f t="shared" si="2"/>
        <v>0</v>
      </c>
    </row>
    <row r="85" spans="1:17" x14ac:dyDescent="0.25">
      <c r="A85" s="575" t="s">
        <v>16</v>
      </c>
      <c r="B85" s="576"/>
      <c r="C85" s="577"/>
      <c r="D85" s="112">
        <v>0</v>
      </c>
      <c r="E85" s="114"/>
      <c r="F85" s="114"/>
      <c r="G85" s="114"/>
      <c r="H85" s="114"/>
      <c r="O85" s="524">
        <f t="shared" si="3"/>
        <v>0.06</v>
      </c>
      <c r="P85" s="110">
        <f t="shared" si="4"/>
        <v>0</v>
      </c>
      <c r="Q85" s="59">
        <f t="shared" si="2"/>
        <v>0</v>
      </c>
    </row>
    <row r="86" spans="1:17" x14ac:dyDescent="0.25">
      <c r="A86" s="578"/>
      <c r="B86" s="579"/>
      <c r="C86" s="580"/>
      <c r="D86" s="112">
        <v>1</v>
      </c>
      <c r="E86" s="114"/>
      <c r="F86" s="114"/>
      <c r="G86" s="114"/>
      <c r="H86" s="114"/>
      <c r="O86" s="524">
        <f t="shared" si="3"/>
        <v>0.06</v>
      </c>
      <c r="P86" s="110">
        <f t="shared" si="4"/>
        <v>0</v>
      </c>
      <c r="Q86" s="59">
        <f t="shared" si="2"/>
        <v>0</v>
      </c>
    </row>
    <row r="87" spans="1:17" x14ac:dyDescent="0.25">
      <c r="A87" s="578"/>
      <c r="B87" s="579"/>
      <c r="C87" s="580"/>
      <c r="D87" s="112">
        <v>2</v>
      </c>
      <c r="E87" s="114"/>
      <c r="F87" s="114"/>
      <c r="G87" s="114"/>
      <c r="H87" s="114"/>
      <c r="O87" s="524">
        <f t="shared" si="3"/>
        <v>7.0000000000000007E-2</v>
      </c>
      <c r="P87" s="110">
        <f t="shared" si="4"/>
        <v>0</v>
      </c>
      <c r="Q87" s="59">
        <f t="shared" si="2"/>
        <v>0</v>
      </c>
    </row>
    <row r="88" spans="1:17" x14ac:dyDescent="0.25">
      <c r="A88" s="578"/>
      <c r="B88" s="579"/>
      <c r="C88" s="580"/>
      <c r="D88" s="112">
        <v>3</v>
      </c>
      <c r="E88" s="114"/>
      <c r="F88" s="114"/>
      <c r="G88" s="114"/>
      <c r="H88" s="114"/>
      <c r="O88" s="524">
        <f t="shared" si="3"/>
        <v>7.0000000000000007E-2</v>
      </c>
      <c r="P88" s="110">
        <f t="shared" si="4"/>
        <v>0</v>
      </c>
      <c r="Q88" s="59">
        <f t="shared" si="2"/>
        <v>0</v>
      </c>
    </row>
    <row r="89" spans="1:17" x14ac:dyDescent="0.25">
      <c r="A89" s="578"/>
      <c r="B89" s="579"/>
      <c r="C89" s="580"/>
      <c r="D89" s="112">
        <v>4</v>
      </c>
      <c r="E89" s="114"/>
      <c r="F89" s="114"/>
      <c r="G89" s="114"/>
      <c r="H89" s="114"/>
      <c r="O89" s="524">
        <f t="shared" si="3"/>
        <v>0.08</v>
      </c>
      <c r="P89" s="110">
        <f t="shared" si="4"/>
        <v>0</v>
      </c>
      <c r="Q89" s="59">
        <f t="shared" si="2"/>
        <v>0</v>
      </c>
    </row>
    <row r="90" spans="1:17" x14ac:dyDescent="0.25">
      <c r="A90" s="578"/>
      <c r="B90" s="579"/>
      <c r="C90" s="580"/>
      <c r="D90" s="112">
        <v>5</v>
      </c>
      <c r="E90" s="114"/>
      <c r="F90" s="114"/>
      <c r="G90" s="114"/>
      <c r="H90" s="114"/>
      <c r="O90" s="524">
        <f t="shared" si="3"/>
        <v>0.08</v>
      </c>
      <c r="P90" s="110">
        <f t="shared" si="4"/>
        <v>0</v>
      </c>
      <c r="Q90" s="59">
        <f t="shared" si="2"/>
        <v>0</v>
      </c>
    </row>
    <row r="91" spans="1:17" x14ac:dyDescent="0.25">
      <c r="A91" s="578"/>
      <c r="B91" s="579"/>
      <c r="C91" s="580"/>
      <c r="D91" s="112">
        <v>6</v>
      </c>
      <c r="E91" s="114"/>
      <c r="F91" s="114"/>
      <c r="G91" s="114"/>
      <c r="H91" s="114"/>
      <c r="O91" s="524">
        <f t="shared" si="3"/>
        <v>0.09</v>
      </c>
      <c r="P91" s="110">
        <f t="shared" si="4"/>
        <v>0</v>
      </c>
      <c r="Q91" s="59">
        <f t="shared" si="2"/>
        <v>0</v>
      </c>
    </row>
    <row r="92" spans="1:17" x14ac:dyDescent="0.25">
      <c r="A92" s="578"/>
      <c r="B92" s="579"/>
      <c r="C92" s="580"/>
      <c r="D92" s="112">
        <v>7</v>
      </c>
      <c r="E92" s="114"/>
      <c r="F92" s="114"/>
      <c r="G92" s="114"/>
      <c r="H92" s="114"/>
      <c r="O92" s="524">
        <f t="shared" si="3"/>
        <v>0.09</v>
      </c>
      <c r="P92" s="110">
        <f t="shared" si="4"/>
        <v>0</v>
      </c>
      <c r="Q92" s="59">
        <f t="shared" si="2"/>
        <v>0</v>
      </c>
    </row>
    <row r="93" spans="1:17" x14ac:dyDescent="0.25">
      <c r="A93" s="578"/>
      <c r="B93" s="579"/>
      <c r="C93" s="580"/>
      <c r="D93" s="112">
        <v>8</v>
      </c>
      <c r="E93" s="114"/>
      <c r="F93" s="114"/>
      <c r="G93" s="114"/>
      <c r="H93" s="114"/>
      <c r="O93" s="524">
        <f t="shared" si="3"/>
        <v>0.1</v>
      </c>
      <c r="P93" s="110">
        <f t="shared" si="4"/>
        <v>0</v>
      </c>
      <c r="Q93" s="59">
        <f t="shared" si="2"/>
        <v>0</v>
      </c>
    </row>
    <row r="94" spans="1:17" x14ac:dyDescent="0.25">
      <c r="A94" s="578"/>
      <c r="B94" s="579"/>
      <c r="C94" s="580"/>
      <c r="D94" s="112">
        <v>9</v>
      </c>
      <c r="E94" s="114"/>
      <c r="F94" s="114"/>
      <c r="G94" s="114"/>
      <c r="H94" s="114"/>
      <c r="O94" s="524">
        <f t="shared" si="3"/>
        <v>0.1</v>
      </c>
      <c r="P94" s="110">
        <f t="shared" si="4"/>
        <v>0</v>
      </c>
      <c r="Q94" s="59">
        <f t="shared" si="2"/>
        <v>0</v>
      </c>
    </row>
    <row r="95" spans="1:17" x14ac:dyDescent="0.25">
      <c r="A95" s="578"/>
      <c r="B95" s="579"/>
      <c r="C95" s="580"/>
      <c r="D95" s="112">
        <v>10</v>
      </c>
      <c r="E95" s="114"/>
      <c r="F95" s="114"/>
      <c r="G95" s="114"/>
      <c r="H95" s="114"/>
      <c r="O95" s="524">
        <f t="shared" ref="O95:O110" si="5">VLOOKUP(D95,$R$31:$S$36,2,TRUE)</f>
        <v>0.12</v>
      </c>
      <c r="P95" s="110">
        <f t="shared" ref="P95:P110" si="6">SUM(E95:H95)</f>
        <v>0</v>
      </c>
      <c r="Q95" s="59">
        <f t="shared" si="2"/>
        <v>0</v>
      </c>
    </row>
    <row r="96" spans="1:17" x14ac:dyDescent="0.25">
      <c r="A96" s="578"/>
      <c r="B96" s="579"/>
      <c r="C96" s="580"/>
      <c r="D96" s="112">
        <v>11</v>
      </c>
      <c r="E96" s="114"/>
      <c r="F96" s="114"/>
      <c r="G96" s="114"/>
      <c r="H96" s="114"/>
      <c r="O96" s="524">
        <f t="shared" si="5"/>
        <v>0.12</v>
      </c>
      <c r="P96" s="110">
        <f t="shared" si="6"/>
        <v>0</v>
      </c>
      <c r="Q96" s="59">
        <f t="shared" ref="Q96:Q110" si="7">O96*P96</f>
        <v>0</v>
      </c>
    </row>
    <row r="97" spans="1:17" x14ac:dyDescent="0.25">
      <c r="A97" s="581"/>
      <c r="B97" s="582"/>
      <c r="C97" s="583"/>
      <c r="D97" s="112">
        <v>12</v>
      </c>
      <c r="E97" s="114"/>
      <c r="F97" s="114"/>
      <c r="G97" s="114"/>
      <c r="H97" s="114"/>
      <c r="O97" s="524">
        <f t="shared" si="5"/>
        <v>0.12</v>
      </c>
      <c r="P97" s="110">
        <f t="shared" si="6"/>
        <v>0</v>
      </c>
      <c r="Q97" s="59">
        <f t="shared" si="7"/>
        <v>0</v>
      </c>
    </row>
    <row r="98" spans="1:17" x14ac:dyDescent="0.25">
      <c r="A98" s="574" t="s">
        <v>17</v>
      </c>
      <c r="B98" s="574"/>
      <c r="C98" s="574"/>
      <c r="D98" s="112">
        <v>0</v>
      </c>
      <c r="E98" s="114"/>
      <c r="F98" s="114"/>
      <c r="G98" s="114"/>
      <c r="H98" s="114"/>
      <c r="O98" s="524">
        <f t="shared" si="5"/>
        <v>0.06</v>
      </c>
      <c r="P98" s="110">
        <f t="shared" si="6"/>
        <v>0</v>
      </c>
      <c r="Q98" s="59">
        <f t="shared" si="7"/>
        <v>0</v>
      </c>
    </row>
    <row r="99" spans="1:17" x14ac:dyDescent="0.25">
      <c r="A99" s="574"/>
      <c r="B99" s="574"/>
      <c r="C99" s="574"/>
      <c r="D99" s="112">
        <v>1</v>
      </c>
      <c r="E99" s="114"/>
      <c r="F99" s="114"/>
      <c r="G99" s="114"/>
      <c r="H99" s="114"/>
      <c r="O99" s="524">
        <f t="shared" si="5"/>
        <v>0.06</v>
      </c>
      <c r="P99" s="110">
        <f t="shared" si="6"/>
        <v>0</v>
      </c>
      <c r="Q99" s="59">
        <f t="shared" si="7"/>
        <v>0</v>
      </c>
    </row>
    <row r="100" spans="1:17" x14ac:dyDescent="0.25">
      <c r="A100" s="574"/>
      <c r="B100" s="574"/>
      <c r="C100" s="574"/>
      <c r="D100" s="112">
        <v>2</v>
      </c>
      <c r="E100" s="114"/>
      <c r="F100" s="114"/>
      <c r="G100" s="114"/>
      <c r="H100" s="114"/>
      <c r="O100" s="524">
        <f t="shared" si="5"/>
        <v>7.0000000000000007E-2</v>
      </c>
      <c r="P100" s="110">
        <f t="shared" si="6"/>
        <v>0</v>
      </c>
      <c r="Q100" s="59">
        <f t="shared" si="7"/>
        <v>0</v>
      </c>
    </row>
    <row r="101" spans="1:17" x14ac:dyDescent="0.25">
      <c r="A101" s="574"/>
      <c r="B101" s="574"/>
      <c r="C101" s="574"/>
      <c r="D101" s="112">
        <v>3</v>
      </c>
      <c r="E101" s="114"/>
      <c r="F101" s="114"/>
      <c r="G101" s="114"/>
      <c r="H101" s="114"/>
      <c r="O101" s="524">
        <f t="shared" si="5"/>
        <v>7.0000000000000007E-2</v>
      </c>
      <c r="P101" s="110">
        <f t="shared" si="6"/>
        <v>0</v>
      </c>
      <c r="Q101" s="59">
        <f t="shared" si="7"/>
        <v>0</v>
      </c>
    </row>
    <row r="102" spans="1:17" x14ac:dyDescent="0.25">
      <c r="A102" s="574"/>
      <c r="B102" s="574"/>
      <c r="C102" s="574"/>
      <c r="D102" s="112">
        <v>4</v>
      </c>
      <c r="E102" s="114"/>
      <c r="F102" s="114"/>
      <c r="G102" s="114"/>
      <c r="H102" s="114"/>
      <c r="O102" s="524">
        <f t="shared" si="5"/>
        <v>0.08</v>
      </c>
      <c r="P102" s="110">
        <f t="shared" si="6"/>
        <v>0</v>
      </c>
      <c r="Q102" s="59">
        <f t="shared" si="7"/>
        <v>0</v>
      </c>
    </row>
    <row r="103" spans="1:17" x14ac:dyDescent="0.25">
      <c r="A103" s="574"/>
      <c r="B103" s="574"/>
      <c r="C103" s="574"/>
      <c r="D103" s="112">
        <v>5</v>
      </c>
      <c r="E103" s="114"/>
      <c r="F103" s="114"/>
      <c r="G103" s="114"/>
      <c r="H103" s="114"/>
      <c r="O103" s="524">
        <f t="shared" si="5"/>
        <v>0.08</v>
      </c>
      <c r="P103" s="110">
        <f t="shared" si="6"/>
        <v>0</v>
      </c>
      <c r="Q103" s="59">
        <f t="shared" si="7"/>
        <v>0</v>
      </c>
    </row>
    <row r="104" spans="1:17" x14ac:dyDescent="0.25">
      <c r="A104" s="574"/>
      <c r="B104" s="574"/>
      <c r="C104" s="574"/>
      <c r="D104" s="112">
        <v>6</v>
      </c>
      <c r="E104" s="114"/>
      <c r="F104" s="114"/>
      <c r="G104" s="114"/>
      <c r="H104" s="114"/>
      <c r="O104" s="524">
        <f t="shared" si="5"/>
        <v>0.09</v>
      </c>
      <c r="P104" s="110">
        <f t="shared" si="6"/>
        <v>0</v>
      </c>
      <c r="Q104" s="59">
        <f t="shared" si="7"/>
        <v>0</v>
      </c>
    </row>
    <row r="105" spans="1:17" x14ac:dyDescent="0.25">
      <c r="A105" s="574"/>
      <c r="B105" s="574"/>
      <c r="C105" s="574"/>
      <c r="D105" s="112">
        <v>7</v>
      </c>
      <c r="E105" s="114"/>
      <c r="F105" s="114"/>
      <c r="G105" s="114"/>
      <c r="H105" s="114"/>
      <c r="O105" s="524">
        <f t="shared" si="5"/>
        <v>0.09</v>
      </c>
      <c r="P105" s="110">
        <f t="shared" si="6"/>
        <v>0</v>
      </c>
      <c r="Q105" s="59">
        <f t="shared" si="7"/>
        <v>0</v>
      </c>
    </row>
    <row r="106" spans="1:17" x14ac:dyDescent="0.25">
      <c r="A106" s="574"/>
      <c r="B106" s="574"/>
      <c r="C106" s="574"/>
      <c r="D106" s="112">
        <v>8</v>
      </c>
      <c r="E106" s="114"/>
      <c r="F106" s="114"/>
      <c r="G106" s="114"/>
      <c r="H106" s="114"/>
      <c r="O106" s="524">
        <f t="shared" si="5"/>
        <v>0.1</v>
      </c>
      <c r="P106" s="110">
        <f t="shared" si="6"/>
        <v>0</v>
      </c>
      <c r="Q106" s="59">
        <f t="shared" si="7"/>
        <v>0</v>
      </c>
    </row>
    <row r="107" spans="1:17" x14ac:dyDescent="0.25">
      <c r="A107" s="574"/>
      <c r="B107" s="574"/>
      <c r="C107" s="574"/>
      <c r="D107" s="112">
        <v>9</v>
      </c>
      <c r="E107" s="114"/>
      <c r="F107" s="114"/>
      <c r="G107" s="114"/>
      <c r="H107" s="114"/>
      <c r="O107" s="524">
        <f t="shared" si="5"/>
        <v>0.1</v>
      </c>
      <c r="P107" s="110">
        <f t="shared" si="6"/>
        <v>0</v>
      </c>
      <c r="Q107" s="59">
        <f t="shared" si="7"/>
        <v>0</v>
      </c>
    </row>
    <row r="108" spans="1:17" x14ac:dyDescent="0.25">
      <c r="A108" s="574"/>
      <c r="B108" s="574"/>
      <c r="C108" s="574"/>
      <c r="D108" s="112">
        <v>10</v>
      </c>
      <c r="E108" s="114"/>
      <c r="F108" s="114"/>
      <c r="G108" s="114"/>
      <c r="H108" s="114"/>
      <c r="O108" s="524">
        <f t="shared" si="5"/>
        <v>0.12</v>
      </c>
      <c r="P108" s="110">
        <f t="shared" si="6"/>
        <v>0</v>
      </c>
      <c r="Q108" s="59">
        <f t="shared" si="7"/>
        <v>0</v>
      </c>
    </row>
    <row r="109" spans="1:17" x14ac:dyDescent="0.25">
      <c r="A109" s="574"/>
      <c r="B109" s="574"/>
      <c r="C109" s="574"/>
      <c r="D109" s="112">
        <v>11</v>
      </c>
      <c r="E109" s="114"/>
      <c r="F109" s="114"/>
      <c r="G109" s="114"/>
      <c r="H109" s="114"/>
      <c r="O109" s="524">
        <f t="shared" si="5"/>
        <v>0.12</v>
      </c>
      <c r="P109" s="110">
        <f t="shared" si="6"/>
        <v>0</v>
      </c>
      <c r="Q109" s="59">
        <f t="shared" si="7"/>
        <v>0</v>
      </c>
    </row>
    <row r="110" spans="1:17" x14ac:dyDescent="0.25">
      <c r="A110" s="574"/>
      <c r="B110" s="574"/>
      <c r="C110" s="574"/>
      <c r="D110" s="112">
        <v>12</v>
      </c>
      <c r="E110" s="114"/>
      <c r="F110" s="114"/>
      <c r="G110" s="114"/>
      <c r="H110" s="114"/>
      <c r="O110" s="524">
        <f t="shared" si="5"/>
        <v>0.12</v>
      </c>
      <c r="P110" s="110">
        <f t="shared" si="6"/>
        <v>0</v>
      </c>
      <c r="Q110" s="59">
        <f t="shared" si="7"/>
        <v>0</v>
      </c>
    </row>
    <row r="112" spans="1:17" x14ac:dyDescent="0.25">
      <c r="A112" s="108" t="s">
        <v>539</v>
      </c>
    </row>
    <row r="113" spans="1:18" x14ac:dyDescent="0.25">
      <c r="Q113" s="59">
        <f>SUM(Q31:Q112)</f>
        <v>3.36</v>
      </c>
      <c r="R113" s="382">
        <f>Q113*'2.1.b Veículos'!D58/12</f>
        <v>185920</v>
      </c>
    </row>
    <row r="114" spans="1:18" x14ac:dyDescent="0.25">
      <c r="A114" s="586" t="s">
        <v>407</v>
      </c>
      <c r="B114" s="586"/>
      <c r="C114" s="586" t="s">
        <v>245</v>
      </c>
    </row>
    <row r="115" spans="1:18" x14ac:dyDescent="0.25">
      <c r="A115" s="586"/>
      <c r="B115" s="586"/>
      <c r="C115" s="586"/>
    </row>
    <row r="116" spans="1:18" x14ac:dyDescent="0.25">
      <c r="A116" s="593" t="s">
        <v>408</v>
      </c>
      <c r="B116" s="593"/>
      <c r="C116" s="114">
        <v>1</v>
      </c>
    </row>
    <row r="117" spans="1:18" x14ac:dyDescent="0.25">
      <c r="A117" s="593" t="s">
        <v>409</v>
      </c>
      <c r="B117" s="593"/>
      <c r="C117" s="114">
        <v>1</v>
      </c>
    </row>
    <row r="118" spans="1:18" x14ac:dyDescent="0.25">
      <c r="A118" s="593" t="s">
        <v>410</v>
      </c>
      <c r="B118" s="593"/>
      <c r="C118" s="114">
        <v>1</v>
      </c>
    </row>
    <row r="119" spans="1:18" x14ac:dyDescent="0.25">
      <c r="A119" s="593" t="s">
        <v>411</v>
      </c>
      <c r="B119" s="593"/>
      <c r="C119" s="114">
        <v>1</v>
      </c>
    </row>
    <row r="120" spans="1:18" x14ac:dyDescent="0.25">
      <c r="A120" s="593" t="s">
        <v>412</v>
      </c>
      <c r="B120" s="593"/>
      <c r="C120" s="114">
        <v>2</v>
      </c>
    </row>
    <row r="123" spans="1:18" ht="21" customHeight="1" x14ac:dyDescent="0.25"/>
    <row r="126" spans="1:18" x14ac:dyDescent="0.25">
      <c r="A126" s="113"/>
      <c r="B126" s="78"/>
    </row>
    <row r="150" ht="15" customHeight="1" x14ac:dyDescent="0.25"/>
  </sheetData>
  <sheetProtection sheet="1" objects="1" scenarios="1"/>
  <mergeCells count="38">
    <mergeCell ref="A10:B10"/>
    <mergeCell ref="A9:B9"/>
    <mergeCell ref="C17:D17"/>
    <mergeCell ref="C3:E3"/>
    <mergeCell ref="A74:C84"/>
    <mergeCell ref="A42:C47"/>
    <mergeCell ref="A22:B22"/>
    <mergeCell ref="A24:B24"/>
    <mergeCell ref="A29:C30"/>
    <mergeCell ref="E29:F29"/>
    <mergeCell ref="A25:B25"/>
    <mergeCell ref="A31:C41"/>
    <mergeCell ref="A48:C60"/>
    <mergeCell ref="A61:C73"/>
    <mergeCell ref="A1:K1"/>
    <mergeCell ref="A5:B5"/>
    <mergeCell ref="A6:B6"/>
    <mergeCell ref="A7:B7"/>
    <mergeCell ref="A8:B8"/>
    <mergeCell ref="J3:M3"/>
    <mergeCell ref="A120:B120"/>
    <mergeCell ref="C114:C115"/>
    <mergeCell ref="A114:B115"/>
    <mergeCell ref="A116:B116"/>
    <mergeCell ref="A117:B117"/>
    <mergeCell ref="A118:B118"/>
    <mergeCell ref="A119:B119"/>
    <mergeCell ref="G29:H29"/>
    <mergeCell ref="A11:B11"/>
    <mergeCell ref="A98:C110"/>
    <mergeCell ref="A85:C97"/>
    <mergeCell ref="A23:B23"/>
    <mergeCell ref="E17:F17"/>
    <mergeCell ref="A17:B18"/>
    <mergeCell ref="D29:D30"/>
    <mergeCell ref="A20:B20"/>
    <mergeCell ref="A21:B21"/>
    <mergeCell ref="A19:B19"/>
  </mergeCells>
  <phoneticPr fontId="0" type="noConversion"/>
  <pageMargins left="0.19685039370078741" right="0.19685039370078741" top="0.98425196850393704" bottom="0.98425196850393704" header="0.51181102362204722" footer="0.51181102362204722"/>
  <pageSetup paperSize="9" scale="4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5">
    <tabColor theme="9" tint="0.59999389629810485"/>
  </sheetPr>
  <dimension ref="A1:M76"/>
  <sheetViews>
    <sheetView showGridLines="0" workbookViewId="0">
      <selection activeCell="M16" sqref="M16"/>
    </sheetView>
  </sheetViews>
  <sheetFormatPr defaultColWidth="11.42578125" defaultRowHeight="15" zeroHeight="1" x14ac:dyDescent="0.25"/>
  <cols>
    <col min="1" max="1" width="7.42578125" style="115" customWidth="1"/>
    <col min="2" max="2" width="20.85546875" style="116" customWidth="1"/>
    <col min="3" max="3" width="5.140625" style="116" bestFit="1" customWidth="1"/>
    <col min="4" max="4" width="28" style="115" customWidth="1"/>
    <col min="5" max="5" width="15.28515625" style="59" bestFit="1" customWidth="1"/>
    <col min="6" max="6" width="12" style="116" bestFit="1" customWidth="1"/>
    <col min="7" max="7" width="11.42578125" style="59" customWidth="1"/>
    <col min="8" max="8" width="1" style="59" customWidth="1"/>
    <col min="9" max="9" width="11.42578125" style="59" customWidth="1"/>
    <col min="10" max="10" width="4.5703125" style="59" customWidth="1"/>
    <col min="11" max="11" width="12.85546875" style="59" customWidth="1"/>
    <col min="12" max="12" width="11.42578125" style="59"/>
    <col min="13" max="13" width="27.7109375" style="59" customWidth="1"/>
    <col min="14" max="16384" width="11.42578125" style="59"/>
  </cols>
  <sheetData>
    <row r="1" spans="1:13" ht="15.75" thickBot="1" x14ac:dyDescent="0.3">
      <c r="A1" s="536" t="s">
        <v>540</v>
      </c>
      <c r="B1" s="536"/>
      <c r="C1" s="536"/>
      <c r="D1" s="536"/>
      <c r="E1" s="536"/>
      <c r="F1" s="536"/>
      <c r="G1" s="536"/>
      <c r="H1" s="536"/>
      <c r="I1" s="536"/>
      <c r="J1" s="536"/>
    </row>
    <row r="2" spans="1:13" ht="15.75" thickBot="1" x14ac:dyDescent="0.3">
      <c r="J2" s="537" t="s">
        <v>84</v>
      </c>
      <c r="K2" s="538"/>
      <c r="L2" s="538"/>
      <c r="M2" s="539"/>
    </row>
    <row r="3" spans="1:13" x14ac:dyDescent="0.25">
      <c r="A3" s="108" t="s">
        <v>541</v>
      </c>
      <c r="J3" s="62"/>
      <c r="K3" s="63"/>
      <c r="L3" s="63"/>
      <c r="M3" s="64"/>
    </row>
    <row r="4" spans="1:13" x14ac:dyDescent="0.25">
      <c r="A4" s="108"/>
      <c r="J4" s="65"/>
      <c r="K4" s="66"/>
      <c r="L4" s="67" t="s">
        <v>82</v>
      </c>
      <c r="M4" s="68"/>
    </row>
    <row r="5" spans="1:13" x14ac:dyDescent="0.25">
      <c r="A5" s="117" t="s">
        <v>557</v>
      </c>
      <c r="B5" s="118" t="s">
        <v>234</v>
      </c>
      <c r="C5" s="118"/>
      <c r="E5" s="123">
        <v>3.5</v>
      </c>
      <c r="F5" s="116" t="s">
        <v>20</v>
      </c>
      <c r="J5" s="65"/>
      <c r="K5" s="71"/>
      <c r="L5" s="67" t="s">
        <v>94</v>
      </c>
      <c r="M5" s="68"/>
    </row>
    <row r="6" spans="1:13" x14ac:dyDescent="0.25">
      <c r="A6" s="117" t="s">
        <v>558</v>
      </c>
      <c r="B6" s="118" t="s">
        <v>18</v>
      </c>
      <c r="C6" s="118"/>
      <c r="E6" s="119">
        <f>SUM('1.1. Passageiros'!C52:L52)</f>
        <v>663824</v>
      </c>
      <c r="F6" s="116" t="s">
        <v>159</v>
      </c>
      <c r="J6" s="65"/>
      <c r="K6" s="72"/>
      <c r="L6" s="67" t="s">
        <v>83</v>
      </c>
      <c r="M6" s="68"/>
    </row>
    <row r="7" spans="1:13" ht="15.75" thickBot="1" x14ac:dyDescent="0.3">
      <c r="A7" s="117" t="s">
        <v>559</v>
      </c>
      <c r="B7" s="116" t="s">
        <v>543</v>
      </c>
      <c r="E7" s="120">
        <f>'1.1. Passageiros'!D11</f>
        <v>189664</v>
      </c>
      <c r="F7" s="116" t="s">
        <v>758</v>
      </c>
      <c r="J7" s="73"/>
      <c r="K7" s="74"/>
      <c r="L7" s="74"/>
      <c r="M7" s="75"/>
    </row>
    <row r="8" spans="1:13" x14ac:dyDescent="0.25">
      <c r="A8" s="117" t="s">
        <v>560</v>
      </c>
      <c r="B8" s="116" t="s">
        <v>19</v>
      </c>
      <c r="E8" s="120">
        <f>E6/E5</f>
        <v>189664</v>
      </c>
      <c r="F8" s="116" t="s">
        <v>758</v>
      </c>
    </row>
    <row r="9" spans="1:13" x14ac:dyDescent="0.25">
      <c r="A9" s="117" t="s">
        <v>561</v>
      </c>
      <c r="B9" s="116" t="s">
        <v>22</v>
      </c>
      <c r="E9" s="120">
        <f>IF('1.2. KM programada'!D7&lt;&gt;"",SUM('1.2. KM programada'!Q16:S115),'1.2. KM programada'!D10)</f>
        <v>231183</v>
      </c>
      <c r="F9" s="116" t="s">
        <v>757</v>
      </c>
    </row>
    <row r="10" spans="1:13" x14ac:dyDescent="0.25"/>
    <row r="11" spans="1:13" x14ac:dyDescent="0.25">
      <c r="A11" s="117" t="s">
        <v>562</v>
      </c>
      <c r="B11" s="116" t="s">
        <v>843</v>
      </c>
      <c r="E11" s="119">
        <f>E7/E9</f>
        <v>0.82040634475718366</v>
      </c>
      <c r="F11" s="116" t="s">
        <v>41</v>
      </c>
    </row>
    <row r="12" spans="1:13" x14ac:dyDescent="0.25">
      <c r="A12" s="117" t="s">
        <v>563</v>
      </c>
      <c r="B12" s="116" t="s">
        <v>28</v>
      </c>
      <c r="E12" s="119">
        <f>E8/E9</f>
        <v>0.82040634475718366</v>
      </c>
      <c r="F12" s="116" t="s">
        <v>41</v>
      </c>
    </row>
    <row r="13" spans="1:13" x14ac:dyDescent="0.25"/>
    <row r="14" spans="1:13" x14ac:dyDescent="0.25">
      <c r="A14" s="108" t="s">
        <v>544</v>
      </c>
    </row>
    <row r="15" spans="1:13" x14ac:dyDescent="0.25"/>
    <row r="16" spans="1:13" x14ac:dyDescent="0.25">
      <c r="A16" s="117" t="s">
        <v>564</v>
      </c>
      <c r="B16" s="121" t="s">
        <v>547</v>
      </c>
      <c r="E16" s="120">
        <f>SUM('1.3 Frota Total'!C19:F25)</f>
        <v>42</v>
      </c>
      <c r="F16" s="116" t="s">
        <v>42</v>
      </c>
    </row>
    <row r="17" spans="1:6" x14ac:dyDescent="0.25">
      <c r="A17" s="117" t="s">
        <v>565</v>
      </c>
      <c r="B17" s="121" t="s">
        <v>545</v>
      </c>
      <c r="C17" s="124">
        <v>0.9</v>
      </c>
      <c r="D17" s="60" t="s">
        <v>43</v>
      </c>
      <c r="E17" s="120">
        <f>ROUNDDOWN($E$16*C17,0)</f>
        <v>37</v>
      </c>
      <c r="F17" s="116" t="s">
        <v>42</v>
      </c>
    </row>
    <row r="18" spans="1:6" x14ac:dyDescent="0.25">
      <c r="A18" s="117" t="s">
        <v>566</v>
      </c>
      <c r="B18" s="121" t="s">
        <v>546</v>
      </c>
      <c r="C18" s="125">
        <v>0.1</v>
      </c>
      <c r="D18" s="60" t="s">
        <v>43</v>
      </c>
      <c r="E18" s="120">
        <f>ROUNDUP($E$16*C18,0)</f>
        <v>5</v>
      </c>
      <c r="F18" s="116" t="s">
        <v>42</v>
      </c>
    </row>
    <row r="19" spans="1:6" x14ac:dyDescent="0.25"/>
    <row r="20" spans="1:6" x14ac:dyDescent="0.25">
      <c r="A20" s="117" t="s">
        <v>567</v>
      </c>
      <c r="B20" s="122" t="s">
        <v>548</v>
      </c>
      <c r="E20" s="120">
        <f>E9/E17</f>
        <v>6248.1891891891892</v>
      </c>
      <c r="F20" s="116" t="s">
        <v>549</v>
      </c>
    </row>
    <row r="21" spans="1:6" x14ac:dyDescent="0.25"/>
    <row r="22" spans="1:6" x14ac:dyDescent="0.25">
      <c r="A22" s="108" t="s">
        <v>550</v>
      </c>
    </row>
    <row r="23" spans="1:6" x14ac:dyDescent="0.25"/>
    <row r="24" spans="1:6" x14ac:dyDescent="0.25">
      <c r="A24" s="117" t="s">
        <v>568</v>
      </c>
      <c r="B24" s="59" t="s">
        <v>552</v>
      </c>
      <c r="E24" s="123">
        <v>30</v>
      </c>
      <c r="F24" s="116" t="s">
        <v>553</v>
      </c>
    </row>
    <row r="25" spans="1:6" x14ac:dyDescent="0.25">
      <c r="A25" s="117" t="s">
        <v>569</v>
      </c>
      <c r="B25" s="116" t="s">
        <v>551</v>
      </c>
      <c r="E25" s="120">
        <f>'1.1. Passageiros'!D11/('1.4 Indicadores'!E17*'1.4 Indicadores'!E24)</f>
        <v>170.86846846846848</v>
      </c>
      <c r="F25" s="116" t="s">
        <v>554</v>
      </c>
    </row>
    <row r="26" spans="1:6" x14ac:dyDescent="0.25"/>
    <row r="27" spans="1:6" x14ac:dyDescent="0.25">
      <c r="A27" s="108" t="s">
        <v>555</v>
      </c>
    </row>
    <row r="28" spans="1:6" x14ac:dyDescent="0.25"/>
    <row r="29" spans="1:6" x14ac:dyDescent="0.25">
      <c r="A29" s="117" t="s">
        <v>570</v>
      </c>
      <c r="B29" s="116" t="s">
        <v>556</v>
      </c>
      <c r="E29" s="120">
        <f>E8/E17</f>
        <v>5126.0540540540542</v>
      </c>
      <c r="F29" s="116" t="s">
        <v>759</v>
      </c>
    </row>
    <row r="30" spans="1:6" x14ac:dyDescent="0.25"/>
    <row r="31" spans="1:6" x14ac:dyDescent="0.25"/>
    <row r="32" spans="1:6"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spans="1:6" x14ac:dyDescent="0.25"/>
    <row r="50" spans="1:6" x14ac:dyDescent="0.25"/>
    <row r="51" spans="1:6" x14ac:dyDescent="0.25"/>
    <row r="52" spans="1:6" x14ac:dyDescent="0.25">
      <c r="A52" s="60"/>
    </row>
    <row r="53" spans="1:6" x14ac:dyDescent="0.25"/>
    <row r="54" spans="1:6" x14ac:dyDescent="0.25">
      <c r="B54" s="59"/>
      <c r="C54" s="59"/>
      <c r="D54" s="59"/>
      <c r="F54" s="59"/>
    </row>
    <row r="55" spans="1:6" x14ac:dyDescent="0.25">
      <c r="B55" s="59"/>
      <c r="C55" s="59"/>
      <c r="D55" s="59"/>
      <c r="F55" s="59"/>
    </row>
    <row r="56" spans="1:6" x14ac:dyDescent="0.25">
      <c r="A56" s="59"/>
      <c r="B56" s="59"/>
      <c r="C56" s="59"/>
      <c r="D56" s="59"/>
      <c r="F56" s="59"/>
    </row>
    <row r="57" spans="1:6" x14ac:dyDescent="0.25">
      <c r="A57" s="59"/>
      <c r="B57" s="59"/>
      <c r="C57" s="59"/>
      <c r="D57" s="59"/>
      <c r="F57" s="59"/>
    </row>
    <row r="58" spans="1:6" x14ac:dyDescent="0.25">
      <c r="A58" s="59"/>
      <c r="B58" s="59"/>
      <c r="C58" s="59"/>
      <c r="D58" s="59"/>
      <c r="F58" s="59"/>
    </row>
    <row r="59" spans="1:6" x14ac:dyDescent="0.25">
      <c r="F59" s="59"/>
    </row>
    <row r="60" spans="1:6" x14ac:dyDescent="0.25">
      <c r="B60" s="59"/>
      <c r="C60" s="59"/>
      <c r="D60" s="59"/>
      <c r="F60" s="59"/>
    </row>
    <row r="61" spans="1:6" x14ac:dyDescent="0.25">
      <c r="B61" s="59"/>
      <c r="C61" s="59"/>
      <c r="D61" s="59"/>
      <c r="F61" s="59"/>
    </row>
    <row r="62" spans="1:6" x14ac:dyDescent="0.25"/>
    <row r="70" spans="7:7" hidden="1" x14ac:dyDescent="0.25">
      <c r="G70" s="107"/>
    </row>
    <row r="76" spans="7:7" hidden="1" x14ac:dyDescent="0.25">
      <c r="G76" s="107"/>
    </row>
  </sheetData>
  <sheetProtection password="E299" sheet="1"/>
  <mergeCells count="2">
    <mergeCell ref="J2:M2"/>
    <mergeCell ref="A1:J1"/>
  </mergeCells>
  <pageMargins left="0.23622047244094491" right="0.23622047244094491" top="0.74803149606299213" bottom="0.74803149606299213" header="0.31496062992125984" footer="0.31496062992125984"/>
  <pageSetup paperSize="9" scale="8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6">
    <tabColor theme="9" tint="0.59999389629810485"/>
  </sheetPr>
  <dimension ref="A1:K77"/>
  <sheetViews>
    <sheetView showGridLines="0" topLeftCell="E1" workbookViewId="0">
      <selection activeCell="D51" sqref="D51"/>
    </sheetView>
  </sheetViews>
  <sheetFormatPr defaultColWidth="11.42578125" defaultRowHeight="15" x14ac:dyDescent="0.25"/>
  <cols>
    <col min="1" max="1" width="6.85546875" style="59" customWidth="1"/>
    <col min="2" max="2" width="36.5703125" style="59" bestFit="1" customWidth="1"/>
    <col min="3" max="3" width="27.85546875" style="59" customWidth="1"/>
    <col min="4" max="6" width="30.7109375" style="59" customWidth="1"/>
    <col min="7" max="8" width="11.42578125" style="59" customWidth="1"/>
    <col min="9" max="9" width="11.28515625" style="59" customWidth="1"/>
    <col min="10" max="10" width="3.28515625" style="59" customWidth="1"/>
    <col min="11" max="16384" width="11.42578125" style="59"/>
  </cols>
  <sheetData>
    <row r="1" spans="1:9" x14ac:dyDescent="0.25">
      <c r="A1" s="107" t="s">
        <v>571</v>
      </c>
      <c r="B1" s="107"/>
      <c r="C1" s="126" t="s">
        <v>891</v>
      </c>
      <c r="D1" s="107"/>
      <c r="E1" s="107"/>
      <c r="F1" s="107"/>
      <c r="G1" s="107"/>
      <c r="H1" s="107"/>
      <c r="I1" s="107"/>
    </row>
    <row r="3" spans="1:9" x14ac:dyDescent="0.25">
      <c r="A3" s="78" t="s">
        <v>856</v>
      </c>
      <c r="B3" s="90" t="s">
        <v>216</v>
      </c>
      <c r="C3" s="90"/>
      <c r="D3" s="90"/>
      <c r="E3" s="90"/>
    </row>
    <row r="4" spans="1:9" x14ac:dyDescent="0.25">
      <c r="A4" s="91"/>
      <c r="B4" s="127" t="s">
        <v>855</v>
      </c>
      <c r="C4" s="87" t="s">
        <v>395</v>
      </c>
      <c r="D4" s="90" t="s">
        <v>857</v>
      </c>
    </row>
    <row r="5" spans="1:9" x14ac:dyDescent="0.25">
      <c r="A5" s="91"/>
      <c r="B5" s="128" t="s">
        <v>214</v>
      </c>
      <c r="C5" s="87"/>
      <c r="D5" s="90" t="s">
        <v>858</v>
      </c>
    </row>
    <row r="7" spans="1:9" x14ac:dyDescent="0.25">
      <c r="A7" s="78" t="s">
        <v>859</v>
      </c>
    </row>
    <row r="8" spans="1:9" x14ac:dyDescent="0.25">
      <c r="A8" s="587" t="s">
        <v>8</v>
      </c>
      <c r="B8" s="588"/>
      <c r="C8" s="586" t="s">
        <v>6</v>
      </c>
      <c r="D8" s="586"/>
      <c r="E8" s="586" t="s">
        <v>7</v>
      </c>
      <c r="F8" s="586"/>
    </row>
    <row r="9" spans="1:9" x14ac:dyDescent="0.25">
      <c r="A9" s="589"/>
      <c r="B9" s="590"/>
      <c r="C9" s="109" t="s">
        <v>9</v>
      </c>
      <c r="D9" s="109" t="s">
        <v>10</v>
      </c>
      <c r="E9" s="109" t="s">
        <v>9</v>
      </c>
      <c r="F9" s="109" t="s">
        <v>10</v>
      </c>
    </row>
    <row r="10" spans="1:9" x14ac:dyDescent="0.25">
      <c r="A10" s="584" t="s">
        <v>11</v>
      </c>
      <c r="B10" s="585"/>
      <c r="C10" s="114">
        <v>0.26</v>
      </c>
      <c r="D10" s="114"/>
      <c r="E10" s="114">
        <v>0.33800000000000002</v>
      </c>
      <c r="F10" s="114"/>
    </row>
    <row r="11" spans="1:9" x14ac:dyDescent="0.25">
      <c r="A11" s="584" t="s">
        <v>12</v>
      </c>
      <c r="B11" s="585"/>
      <c r="C11" s="114"/>
      <c r="D11" s="114"/>
      <c r="E11" s="114"/>
      <c r="F11" s="114"/>
    </row>
    <row r="12" spans="1:9" x14ac:dyDescent="0.25">
      <c r="A12" s="584" t="s">
        <v>13</v>
      </c>
      <c r="B12" s="585"/>
      <c r="C12" s="114">
        <f>0.35</f>
        <v>0.35</v>
      </c>
      <c r="D12" s="114"/>
      <c r="E12" s="114">
        <v>0.45499999999999996</v>
      </c>
      <c r="F12" s="114"/>
    </row>
    <row r="13" spans="1:9" x14ac:dyDescent="0.25">
      <c r="A13" s="584" t="s">
        <v>14</v>
      </c>
      <c r="B13" s="585"/>
      <c r="C13" s="114">
        <f>0.4</f>
        <v>0.4</v>
      </c>
      <c r="D13" s="114"/>
      <c r="E13" s="114">
        <v>0.52</v>
      </c>
      <c r="F13" s="114"/>
    </row>
    <row r="14" spans="1:9" x14ac:dyDescent="0.25">
      <c r="A14" s="584" t="s">
        <v>15</v>
      </c>
      <c r="B14" s="585"/>
      <c r="C14" s="114"/>
      <c r="D14" s="114"/>
      <c r="E14" s="114"/>
      <c r="F14" s="114"/>
    </row>
    <row r="15" spans="1:9" x14ac:dyDescent="0.25">
      <c r="A15" s="584" t="s">
        <v>16</v>
      </c>
      <c r="B15" s="585"/>
      <c r="C15" s="114"/>
      <c r="D15" s="114"/>
      <c r="E15" s="114"/>
      <c r="F15" s="114"/>
    </row>
    <row r="16" spans="1:9" x14ac:dyDescent="0.25">
      <c r="A16" s="584" t="s">
        <v>17</v>
      </c>
      <c r="B16" s="585"/>
      <c r="C16" s="114"/>
      <c r="D16" s="114"/>
      <c r="E16" s="114"/>
      <c r="F16" s="114"/>
    </row>
    <row r="18" spans="1:11" ht="15.75" thickBot="1" x14ac:dyDescent="0.3">
      <c r="A18" s="78" t="s">
        <v>862</v>
      </c>
    </row>
    <row r="19" spans="1:11" ht="15.75" thickBot="1" x14ac:dyDescent="0.3">
      <c r="A19" s="587" t="s">
        <v>8</v>
      </c>
      <c r="B19" s="588"/>
      <c r="C19" s="586" t="s">
        <v>6</v>
      </c>
      <c r="D19" s="586"/>
      <c r="E19" s="586" t="s">
        <v>7</v>
      </c>
      <c r="F19" s="586"/>
      <c r="H19" s="537" t="s">
        <v>84</v>
      </c>
      <c r="I19" s="538"/>
      <c r="J19" s="538"/>
      <c r="K19" s="539"/>
    </row>
    <row r="20" spans="1:11" x14ac:dyDescent="0.25">
      <c r="A20" s="589"/>
      <c r="B20" s="590"/>
      <c r="C20" s="109" t="s">
        <v>9</v>
      </c>
      <c r="D20" s="109" t="s">
        <v>10</v>
      </c>
      <c r="E20" s="109" t="s">
        <v>9</v>
      </c>
      <c r="F20" s="109" t="s">
        <v>10</v>
      </c>
      <c r="H20" s="62"/>
      <c r="I20" s="63"/>
      <c r="J20" s="63"/>
      <c r="K20" s="64"/>
    </row>
    <row r="21" spans="1:11" ht="15" customHeight="1" x14ac:dyDescent="0.25">
      <c r="A21" s="584" t="s">
        <v>11</v>
      </c>
      <c r="B21" s="585"/>
      <c r="C21" s="114"/>
      <c r="D21" s="114"/>
      <c r="E21" s="114"/>
      <c r="F21" s="114"/>
      <c r="H21" s="65"/>
      <c r="I21" s="66"/>
      <c r="J21" s="67" t="s">
        <v>82</v>
      </c>
      <c r="K21" s="68"/>
    </row>
    <row r="22" spans="1:11" x14ac:dyDescent="0.25">
      <c r="A22" s="584" t="s">
        <v>12</v>
      </c>
      <c r="B22" s="585"/>
      <c r="C22" s="114"/>
      <c r="D22" s="114"/>
      <c r="E22" s="114"/>
      <c r="F22" s="114"/>
      <c r="H22" s="65"/>
      <c r="I22" s="71"/>
      <c r="J22" s="67" t="s">
        <v>94</v>
      </c>
      <c r="K22" s="68"/>
    </row>
    <row r="23" spans="1:11" x14ac:dyDescent="0.25">
      <c r="A23" s="584" t="s">
        <v>13</v>
      </c>
      <c r="B23" s="585"/>
      <c r="C23" s="114"/>
      <c r="D23" s="114"/>
      <c r="E23" s="114"/>
      <c r="F23" s="114"/>
      <c r="H23" s="65"/>
      <c r="I23" s="72"/>
      <c r="J23" s="67" t="s">
        <v>83</v>
      </c>
      <c r="K23" s="68"/>
    </row>
    <row r="24" spans="1:11" ht="15.75" thickBot="1" x14ac:dyDescent="0.3">
      <c r="A24" s="584" t="s">
        <v>14</v>
      </c>
      <c r="B24" s="585"/>
      <c r="C24" s="114"/>
      <c r="D24" s="114"/>
      <c r="E24" s="114"/>
      <c r="F24" s="114"/>
      <c r="H24" s="73"/>
      <c r="I24" s="74"/>
      <c r="J24" s="74"/>
      <c r="K24" s="75"/>
    </row>
    <row r="25" spans="1:11" x14ac:dyDescent="0.25">
      <c r="A25" s="584" t="s">
        <v>15</v>
      </c>
      <c r="B25" s="585"/>
      <c r="C25" s="114"/>
      <c r="D25" s="114"/>
      <c r="E25" s="114"/>
      <c r="F25" s="114"/>
    </row>
    <row r="26" spans="1:11" x14ac:dyDescent="0.25">
      <c r="A26" s="584" t="s">
        <v>16</v>
      </c>
      <c r="B26" s="585"/>
      <c r="C26" s="114"/>
      <c r="D26" s="114"/>
      <c r="E26" s="114"/>
      <c r="F26" s="114"/>
    </row>
    <row r="27" spans="1:11" x14ac:dyDescent="0.25">
      <c r="A27" s="584" t="s">
        <v>17</v>
      </c>
      <c r="B27" s="585"/>
      <c r="C27" s="114"/>
      <c r="D27" s="114"/>
      <c r="E27" s="114"/>
      <c r="F27" s="114"/>
    </row>
    <row r="29" spans="1:11" x14ac:dyDescent="0.25">
      <c r="A29" s="78" t="s">
        <v>863</v>
      </c>
    </row>
    <row r="30" spans="1:11" x14ac:dyDescent="0.25">
      <c r="A30" s="587" t="s">
        <v>8</v>
      </c>
      <c r="B30" s="588"/>
      <c r="C30" s="586" t="s">
        <v>6</v>
      </c>
      <c r="D30" s="586"/>
      <c r="E30" s="586" t="s">
        <v>7</v>
      </c>
      <c r="F30" s="586"/>
    </row>
    <row r="31" spans="1:11" x14ac:dyDescent="0.25">
      <c r="A31" s="589"/>
      <c r="B31" s="590"/>
      <c r="C31" s="109" t="s">
        <v>9</v>
      </c>
      <c r="D31" s="109" t="s">
        <v>10</v>
      </c>
      <c r="E31" s="109" t="s">
        <v>9</v>
      </c>
      <c r="F31" s="109" t="s">
        <v>10</v>
      </c>
    </row>
    <row r="32" spans="1:11" ht="15" customHeight="1" x14ac:dyDescent="0.25">
      <c r="A32" s="584" t="s">
        <v>11</v>
      </c>
      <c r="B32" s="585"/>
      <c r="C32" s="114"/>
      <c r="D32" s="114"/>
      <c r="E32" s="114"/>
      <c r="F32" s="114"/>
    </row>
    <row r="33" spans="1:6" x14ac:dyDescent="0.25">
      <c r="A33" s="584" t="s">
        <v>12</v>
      </c>
      <c r="B33" s="585"/>
      <c r="C33" s="114"/>
      <c r="D33" s="114"/>
      <c r="E33" s="114"/>
      <c r="F33" s="114"/>
    </row>
    <row r="34" spans="1:6" x14ac:dyDescent="0.25">
      <c r="A34" s="584" t="s">
        <v>13</v>
      </c>
      <c r="B34" s="585"/>
      <c r="C34" s="114"/>
      <c r="D34" s="114"/>
      <c r="E34" s="114"/>
      <c r="F34" s="114"/>
    </row>
    <row r="35" spans="1:6" x14ac:dyDescent="0.25">
      <c r="A35" s="584" t="s">
        <v>14</v>
      </c>
      <c r="B35" s="585"/>
      <c r="C35" s="114"/>
      <c r="D35" s="114"/>
      <c r="E35" s="114"/>
      <c r="F35" s="114"/>
    </row>
    <row r="36" spans="1:6" x14ac:dyDescent="0.25">
      <c r="A36" s="584" t="s">
        <v>15</v>
      </c>
      <c r="B36" s="585"/>
      <c r="C36" s="114"/>
      <c r="D36" s="114"/>
      <c r="E36" s="114"/>
      <c r="F36" s="114"/>
    </row>
    <row r="37" spans="1:6" x14ac:dyDescent="0.25">
      <c r="A37" s="584" t="s">
        <v>16</v>
      </c>
      <c r="B37" s="585"/>
      <c r="C37" s="114"/>
      <c r="D37" s="114"/>
      <c r="E37" s="114"/>
      <c r="F37" s="114"/>
    </row>
    <row r="38" spans="1:6" x14ac:dyDescent="0.25">
      <c r="A38" s="584" t="s">
        <v>17</v>
      </c>
      <c r="B38" s="585"/>
      <c r="C38" s="114"/>
      <c r="D38" s="114"/>
      <c r="E38" s="114"/>
      <c r="F38" s="114"/>
    </row>
    <row r="40" spans="1:6" x14ac:dyDescent="0.25">
      <c r="A40" s="78" t="s">
        <v>864</v>
      </c>
    </row>
    <row r="41" spans="1:6" x14ac:dyDescent="0.25">
      <c r="A41" s="600" t="s">
        <v>8</v>
      </c>
      <c r="B41" s="601"/>
      <c r="C41" s="597" t="s">
        <v>6</v>
      </c>
      <c r="D41" s="597"/>
      <c r="E41" s="597" t="s">
        <v>7</v>
      </c>
      <c r="F41" s="597"/>
    </row>
    <row r="42" spans="1:6" x14ac:dyDescent="0.25">
      <c r="A42" s="602"/>
      <c r="B42" s="603"/>
      <c r="C42" s="129" t="s">
        <v>9</v>
      </c>
      <c r="D42" s="129" t="s">
        <v>10</v>
      </c>
      <c r="E42" s="129" t="s">
        <v>9</v>
      </c>
      <c r="F42" s="129" t="s">
        <v>10</v>
      </c>
    </row>
    <row r="43" spans="1:6" ht="15" customHeight="1" x14ac:dyDescent="0.25">
      <c r="A43" s="598" t="s">
        <v>11</v>
      </c>
      <c r="B43" s="599"/>
      <c r="C43" s="130" t="str">
        <f>IFERROR(C21/C32,"")</f>
        <v/>
      </c>
      <c r="D43" s="130" t="str">
        <f>IFERROR(D21/D32,"")</f>
        <v/>
      </c>
      <c r="E43" s="130" t="str">
        <f>IFERROR(E21/E32,"")</f>
        <v/>
      </c>
      <c r="F43" s="130" t="str">
        <f>IFERROR(F21/F32,"")</f>
        <v/>
      </c>
    </row>
    <row r="44" spans="1:6" x14ac:dyDescent="0.25">
      <c r="A44" s="598" t="s">
        <v>12</v>
      </c>
      <c r="B44" s="599"/>
      <c r="C44" s="130" t="str">
        <f>IFERROR(C22/C33,"")</f>
        <v/>
      </c>
      <c r="D44" s="130" t="str">
        <f t="shared" ref="C44:F49" si="0">IFERROR(D22/D33,"")</f>
        <v/>
      </c>
      <c r="E44" s="130" t="str">
        <f t="shared" si="0"/>
        <v/>
      </c>
      <c r="F44" s="130" t="str">
        <f t="shared" si="0"/>
        <v/>
      </c>
    </row>
    <row r="45" spans="1:6" x14ac:dyDescent="0.25">
      <c r="A45" s="598" t="s">
        <v>13</v>
      </c>
      <c r="B45" s="599"/>
      <c r="C45" s="130" t="str">
        <f t="shared" si="0"/>
        <v/>
      </c>
      <c r="D45" s="130" t="str">
        <f t="shared" si="0"/>
        <v/>
      </c>
      <c r="E45" s="130" t="str">
        <f t="shared" si="0"/>
        <v/>
      </c>
      <c r="F45" s="130" t="str">
        <f t="shared" si="0"/>
        <v/>
      </c>
    </row>
    <row r="46" spans="1:6" x14ac:dyDescent="0.25">
      <c r="A46" s="598" t="s">
        <v>14</v>
      </c>
      <c r="B46" s="599"/>
      <c r="C46" s="130" t="str">
        <f>IFERROR(C24/C35,"")</f>
        <v/>
      </c>
      <c r="D46" s="130" t="str">
        <f t="shared" si="0"/>
        <v/>
      </c>
      <c r="E46" s="130" t="str">
        <f t="shared" si="0"/>
        <v/>
      </c>
      <c r="F46" s="130" t="str">
        <f t="shared" si="0"/>
        <v/>
      </c>
    </row>
    <row r="47" spans="1:6" x14ac:dyDescent="0.25">
      <c r="A47" s="598" t="s">
        <v>15</v>
      </c>
      <c r="B47" s="599"/>
      <c r="C47" s="130" t="str">
        <f t="shared" si="0"/>
        <v/>
      </c>
      <c r="D47" s="130" t="str">
        <f t="shared" si="0"/>
        <v/>
      </c>
      <c r="E47" s="130" t="str">
        <f t="shared" si="0"/>
        <v/>
      </c>
      <c r="F47" s="130" t="str">
        <f t="shared" si="0"/>
        <v/>
      </c>
    </row>
    <row r="48" spans="1:6" x14ac:dyDescent="0.25">
      <c r="A48" s="598" t="s">
        <v>16</v>
      </c>
      <c r="B48" s="599"/>
      <c r="C48" s="130" t="str">
        <f t="shared" si="0"/>
        <v/>
      </c>
      <c r="D48" s="130" t="str">
        <f t="shared" si="0"/>
        <v/>
      </c>
      <c r="E48" s="130" t="str">
        <f t="shared" si="0"/>
        <v/>
      </c>
      <c r="F48" s="130" t="str">
        <f t="shared" si="0"/>
        <v/>
      </c>
    </row>
    <row r="49" spans="1:6" x14ac:dyDescent="0.25">
      <c r="A49" s="598" t="s">
        <v>17</v>
      </c>
      <c r="B49" s="599"/>
      <c r="C49" s="130" t="str">
        <f t="shared" si="0"/>
        <v/>
      </c>
      <c r="D49" s="130" t="str">
        <f t="shared" si="0"/>
        <v/>
      </c>
      <c r="E49" s="130" t="str">
        <f t="shared" si="0"/>
        <v/>
      </c>
      <c r="F49" s="130" t="str">
        <f t="shared" si="0"/>
        <v/>
      </c>
    </row>
    <row r="51" spans="1:6" x14ac:dyDescent="0.25">
      <c r="A51" s="131" t="s">
        <v>860</v>
      </c>
      <c r="B51" s="132" t="s">
        <v>792</v>
      </c>
      <c r="E51" s="126" t="s">
        <v>793</v>
      </c>
    </row>
    <row r="52" spans="1:6" x14ac:dyDescent="0.25">
      <c r="A52" s="587" t="s">
        <v>8</v>
      </c>
      <c r="B52" s="588"/>
      <c r="C52" s="586" t="s">
        <v>6</v>
      </c>
      <c r="D52" s="586"/>
      <c r="E52" s="586" t="s">
        <v>7</v>
      </c>
      <c r="F52" s="586"/>
    </row>
    <row r="53" spans="1:6" x14ac:dyDescent="0.25">
      <c r="A53" s="589"/>
      <c r="B53" s="590"/>
      <c r="C53" s="109" t="s">
        <v>9</v>
      </c>
      <c r="D53" s="109" t="s">
        <v>10</v>
      </c>
      <c r="E53" s="109" t="s">
        <v>9</v>
      </c>
      <c r="F53" s="109" t="s">
        <v>10</v>
      </c>
    </row>
    <row r="54" spans="1:6" x14ac:dyDescent="0.25">
      <c r="A54" s="584" t="s">
        <v>11</v>
      </c>
      <c r="B54" s="585"/>
      <c r="C54" s="114">
        <v>75922.679999999993</v>
      </c>
      <c r="D54" s="114"/>
      <c r="E54" s="114"/>
      <c r="F54" s="114"/>
    </row>
    <row r="55" spans="1:6" x14ac:dyDescent="0.25">
      <c r="A55" s="584" t="s">
        <v>12</v>
      </c>
      <c r="B55" s="585"/>
      <c r="C55" s="114"/>
      <c r="D55" s="114"/>
      <c r="E55" s="114"/>
      <c r="F55" s="114"/>
    </row>
    <row r="56" spans="1:6" x14ac:dyDescent="0.25">
      <c r="A56" s="584" t="s">
        <v>13</v>
      </c>
      <c r="B56" s="585"/>
      <c r="C56" s="114">
        <v>69929.820000000022</v>
      </c>
      <c r="D56" s="114"/>
      <c r="E56" s="114">
        <v>69929.820000000022</v>
      </c>
      <c r="F56" s="114"/>
    </row>
    <row r="57" spans="1:6" x14ac:dyDescent="0.25">
      <c r="A57" s="584" t="s">
        <v>14</v>
      </c>
      <c r="B57" s="585"/>
      <c r="C57" s="114"/>
      <c r="D57" s="114"/>
      <c r="E57" s="114">
        <f>7700*2</f>
        <v>15400</v>
      </c>
      <c r="F57" s="114"/>
    </row>
    <row r="58" spans="1:6" x14ac:dyDescent="0.25">
      <c r="A58" s="584" t="s">
        <v>15</v>
      </c>
      <c r="B58" s="585"/>
      <c r="C58" s="114"/>
      <c r="D58" s="114"/>
      <c r="E58" s="114"/>
      <c r="F58" s="114"/>
    </row>
    <row r="59" spans="1:6" x14ac:dyDescent="0.25">
      <c r="A59" s="584" t="s">
        <v>16</v>
      </c>
      <c r="B59" s="585"/>
      <c r="C59" s="114"/>
      <c r="D59" s="114"/>
      <c r="E59" s="114"/>
      <c r="F59" s="114"/>
    </row>
    <row r="60" spans="1:6" x14ac:dyDescent="0.25">
      <c r="A60" s="584" t="s">
        <v>17</v>
      </c>
      <c r="B60" s="585"/>
      <c r="C60" s="114"/>
      <c r="D60" s="114"/>
      <c r="E60" s="114"/>
      <c r="F60" s="114"/>
    </row>
    <row r="62" spans="1:6" x14ac:dyDescent="0.25">
      <c r="A62" s="78" t="s">
        <v>861</v>
      </c>
    </row>
    <row r="63" spans="1:6" x14ac:dyDescent="0.25">
      <c r="A63" s="600" t="s">
        <v>8</v>
      </c>
      <c r="B63" s="601"/>
      <c r="C63" s="597" t="s">
        <v>6</v>
      </c>
      <c r="D63" s="597"/>
      <c r="E63" s="597" t="s">
        <v>7</v>
      </c>
      <c r="F63" s="597"/>
    </row>
    <row r="64" spans="1:6" x14ac:dyDescent="0.25">
      <c r="A64" s="602"/>
      <c r="B64" s="603"/>
      <c r="C64" s="129" t="s">
        <v>9</v>
      </c>
      <c r="D64" s="129" t="s">
        <v>10</v>
      </c>
      <c r="E64" s="129" t="s">
        <v>9</v>
      </c>
      <c r="F64" s="129" t="s">
        <v>10</v>
      </c>
    </row>
    <row r="65" spans="1:6" ht="15" customHeight="1" x14ac:dyDescent="0.25">
      <c r="A65" s="598" t="s">
        <v>11</v>
      </c>
      <c r="B65" s="599"/>
      <c r="C65" s="133">
        <f>IFERROR(IF($C$4&lt;&gt;0,C10*C54,C43*C54),"")</f>
        <v>19739.896799999999</v>
      </c>
      <c r="D65" s="133">
        <f>IFERROR(IF($C$4&lt;&gt;0,D10*D54,D43*D54),"")</f>
        <v>0</v>
      </c>
      <c r="E65" s="133">
        <f>IFERROR(IF($C$4&lt;&gt;0,E10*E54,E43*E54),"")</f>
        <v>0</v>
      </c>
      <c r="F65" s="133">
        <f>IFERROR(IF($C$4&lt;&gt;0,F10*F54,F43*F54),"")</f>
        <v>0</v>
      </c>
    </row>
    <row r="66" spans="1:6" x14ac:dyDescent="0.25">
      <c r="A66" s="598" t="s">
        <v>12</v>
      </c>
      <c r="B66" s="599"/>
      <c r="C66" s="133">
        <f t="shared" ref="C66:F71" si="1">IFERROR(IF($C$4&lt;&gt;0,C11*C55,C44*C55),"")</f>
        <v>0</v>
      </c>
      <c r="D66" s="133">
        <f t="shared" si="1"/>
        <v>0</v>
      </c>
      <c r="E66" s="133">
        <f t="shared" si="1"/>
        <v>0</v>
      </c>
      <c r="F66" s="133">
        <f t="shared" si="1"/>
        <v>0</v>
      </c>
    </row>
    <row r="67" spans="1:6" x14ac:dyDescent="0.25">
      <c r="A67" s="598" t="s">
        <v>13</v>
      </c>
      <c r="B67" s="599"/>
      <c r="C67" s="133">
        <f t="shared" si="1"/>
        <v>24475.437000000005</v>
      </c>
      <c r="D67" s="133">
        <f t="shared" si="1"/>
        <v>0</v>
      </c>
      <c r="E67" s="133">
        <f t="shared" si="1"/>
        <v>31818.068100000008</v>
      </c>
      <c r="F67" s="133">
        <f t="shared" si="1"/>
        <v>0</v>
      </c>
    </row>
    <row r="68" spans="1:6" x14ac:dyDescent="0.25">
      <c r="A68" s="598" t="s">
        <v>14</v>
      </c>
      <c r="B68" s="599"/>
      <c r="C68" s="133">
        <f t="shared" si="1"/>
        <v>0</v>
      </c>
      <c r="D68" s="133">
        <f t="shared" si="1"/>
        <v>0</v>
      </c>
      <c r="E68" s="133">
        <f t="shared" si="1"/>
        <v>8008</v>
      </c>
      <c r="F68" s="133">
        <f t="shared" si="1"/>
        <v>0</v>
      </c>
    </row>
    <row r="69" spans="1:6" x14ac:dyDescent="0.25">
      <c r="A69" s="598" t="s">
        <v>15</v>
      </c>
      <c r="B69" s="599"/>
      <c r="C69" s="133">
        <f t="shared" si="1"/>
        <v>0</v>
      </c>
      <c r="D69" s="133">
        <f t="shared" si="1"/>
        <v>0</v>
      </c>
      <c r="E69" s="133">
        <f t="shared" si="1"/>
        <v>0</v>
      </c>
      <c r="F69" s="133">
        <f t="shared" si="1"/>
        <v>0</v>
      </c>
    </row>
    <row r="70" spans="1:6" x14ac:dyDescent="0.25">
      <c r="A70" s="598" t="s">
        <v>16</v>
      </c>
      <c r="B70" s="599"/>
      <c r="C70" s="133">
        <f t="shared" si="1"/>
        <v>0</v>
      </c>
      <c r="D70" s="133">
        <f t="shared" si="1"/>
        <v>0</v>
      </c>
      <c r="E70" s="133">
        <f t="shared" si="1"/>
        <v>0</v>
      </c>
      <c r="F70" s="133">
        <f t="shared" si="1"/>
        <v>0</v>
      </c>
    </row>
    <row r="71" spans="1:6" x14ac:dyDescent="0.25">
      <c r="A71" s="598" t="s">
        <v>17</v>
      </c>
      <c r="B71" s="599"/>
      <c r="C71" s="133">
        <f t="shared" si="1"/>
        <v>0</v>
      </c>
      <c r="D71" s="133">
        <f t="shared" si="1"/>
        <v>0</v>
      </c>
      <c r="E71" s="133">
        <f t="shared" si="1"/>
        <v>0</v>
      </c>
      <c r="F71" s="133">
        <f>IFERROR(IF($C$4&lt;&gt;0,F16*F60,F49*F60),"")</f>
        <v>0</v>
      </c>
    </row>
    <row r="73" spans="1:6" ht="21" x14ac:dyDescent="0.25">
      <c r="A73" s="113"/>
      <c r="B73" s="134" t="s">
        <v>81</v>
      </c>
      <c r="C73" s="135">
        <f>SUM(C65:F71)</f>
        <v>84041.401900000012</v>
      </c>
      <c r="D73" s="136" t="s">
        <v>50</v>
      </c>
    </row>
    <row r="77" spans="1:6" x14ac:dyDescent="0.25">
      <c r="D77" s="137"/>
    </row>
  </sheetData>
  <sheetProtection password="E299" sheet="1"/>
  <mergeCells count="61">
    <mergeCell ref="A8:B9"/>
    <mergeCell ref="C8:D8"/>
    <mergeCell ref="E8:F8"/>
    <mergeCell ref="A10:B10"/>
    <mergeCell ref="A59:B59"/>
    <mergeCell ref="A54:B54"/>
    <mergeCell ref="A52:B53"/>
    <mergeCell ref="C52:D52"/>
    <mergeCell ref="E52:F52"/>
    <mergeCell ref="A11:B11"/>
    <mergeCell ref="A12:B12"/>
    <mergeCell ref="A13:B13"/>
    <mergeCell ref="A14:B14"/>
    <mergeCell ref="A15:B15"/>
    <mergeCell ref="A16:B16"/>
    <mergeCell ref="A21:B21"/>
    <mergeCell ref="H19:K19"/>
    <mergeCell ref="A63:B64"/>
    <mergeCell ref="C63:D63"/>
    <mergeCell ref="E63:F63"/>
    <mergeCell ref="A32:B32"/>
    <mergeCell ref="A35:B35"/>
    <mergeCell ref="A43:B43"/>
    <mergeCell ref="A36:B36"/>
    <mergeCell ref="A22:B22"/>
    <mergeCell ref="A23:B23"/>
    <mergeCell ref="A60:B60"/>
    <mergeCell ref="A19:B20"/>
    <mergeCell ref="C19:D19"/>
    <mergeCell ref="E19:F19"/>
    <mergeCell ref="C30:D30"/>
    <mergeCell ref="A47:B47"/>
    <mergeCell ref="A27:B27"/>
    <mergeCell ref="A56:B56"/>
    <mergeCell ref="A57:B57"/>
    <mergeCell ref="A58:B58"/>
    <mergeCell ref="A55:B55"/>
    <mergeCell ref="A49:B49"/>
    <mergeCell ref="A71:B71"/>
    <mergeCell ref="A65:B65"/>
    <mergeCell ref="A66:B66"/>
    <mergeCell ref="A67:B67"/>
    <mergeCell ref="A68:B68"/>
    <mergeCell ref="A69:B69"/>
    <mergeCell ref="A70:B70"/>
    <mergeCell ref="E41:F41"/>
    <mergeCell ref="A44:B44"/>
    <mergeCell ref="A45:B45"/>
    <mergeCell ref="A48:B48"/>
    <mergeCell ref="A24:B24"/>
    <mergeCell ref="A25:B25"/>
    <mergeCell ref="A33:B33"/>
    <mergeCell ref="A34:B34"/>
    <mergeCell ref="A30:B31"/>
    <mergeCell ref="E30:F30"/>
    <mergeCell ref="A46:B46"/>
    <mergeCell ref="A37:B37"/>
    <mergeCell ref="A38:B38"/>
    <mergeCell ref="A41:B42"/>
    <mergeCell ref="C41:D41"/>
    <mergeCell ref="A26:B26"/>
  </mergeCells>
  <pageMargins left="0.19685039370078741" right="0.19685039370078741" top="0.98425196850393704" bottom="0.98425196850393704" header="0.51181102362204722" footer="0.51181102362204722"/>
  <pageSetup paperSize="9" scale="60" orientation="landscape" verticalDpi="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7">
    <tabColor theme="9" tint="0.59999389629810485"/>
  </sheetPr>
  <dimension ref="A1:G58"/>
  <sheetViews>
    <sheetView showGridLines="0" tabSelected="1" workbookViewId="0">
      <selection activeCell="E19" sqref="E19"/>
    </sheetView>
  </sheetViews>
  <sheetFormatPr defaultColWidth="0" defaultRowHeight="15" x14ac:dyDescent="0.25"/>
  <cols>
    <col min="1" max="1" width="7.28515625" style="59" customWidth="1"/>
    <col min="2" max="2" width="38.140625" style="59" customWidth="1"/>
    <col min="3" max="3" width="10" style="59" customWidth="1"/>
    <col min="4" max="4" width="35" style="59" customWidth="1"/>
    <col min="5" max="7" width="30.7109375" style="59" customWidth="1"/>
    <col min="8" max="8" width="5.140625" style="59" customWidth="1"/>
    <col min="9" max="16384" width="0" style="59" hidden="1"/>
  </cols>
  <sheetData>
    <row r="1" spans="1:7" x14ac:dyDescent="0.25">
      <c r="A1" s="107" t="s">
        <v>760</v>
      </c>
      <c r="B1" s="107"/>
    </row>
    <row r="3" spans="1:7" x14ac:dyDescent="0.25">
      <c r="A3" s="78" t="s">
        <v>572</v>
      </c>
      <c r="B3" s="78" t="s">
        <v>230</v>
      </c>
    </row>
    <row r="4" spans="1:7" x14ac:dyDescent="0.25">
      <c r="A4" s="587" t="s">
        <v>8</v>
      </c>
      <c r="B4" s="588"/>
      <c r="C4" s="595"/>
      <c r="D4" s="570" t="s">
        <v>6</v>
      </c>
      <c r="E4" s="571"/>
      <c r="F4" s="570" t="s">
        <v>7</v>
      </c>
      <c r="G4" s="571"/>
    </row>
    <row r="5" spans="1:7" x14ac:dyDescent="0.25">
      <c r="A5" s="589"/>
      <c r="B5" s="590"/>
      <c r="C5" s="596"/>
      <c r="D5" s="109" t="s">
        <v>9</v>
      </c>
      <c r="E5" s="109" t="s">
        <v>10</v>
      </c>
      <c r="F5" s="109" t="s">
        <v>9</v>
      </c>
      <c r="G5" s="109" t="s">
        <v>10</v>
      </c>
    </row>
    <row r="6" spans="1:7" ht="15" customHeight="1" x14ac:dyDescent="0.25">
      <c r="A6" s="584" t="s">
        <v>11</v>
      </c>
      <c r="B6" s="585"/>
      <c r="C6" s="604"/>
      <c r="D6" s="142">
        <v>465000</v>
      </c>
      <c r="E6" s="142"/>
      <c r="F6" s="142">
        <v>523000</v>
      </c>
      <c r="G6" s="142"/>
    </row>
    <row r="7" spans="1:7" x14ac:dyDescent="0.25">
      <c r="A7" s="584" t="s">
        <v>12</v>
      </c>
      <c r="B7" s="585"/>
      <c r="C7" s="604"/>
      <c r="D7" s="142"/>
      <c r="E7" s="142"/>
      <c r="F7" s="142"/>
      <c r="G7" s="142"/>
    </row>
    <row r="8" spans="1:7" x14ac:dyDescent="0.25">
      <c r="A8" s="584" t="s">
        <v>13</v>
      </c>
      <c r="B8" s="585"/>
      <c r="C8" s="604"/>
      <c r="D8" s="142">
        <v>632000</v>
      </c>
      <c r="E8" s="142"/>
      <c r="F8" s="142">
        <v>690000</v>
      </c>
      <c r="G8" s="142"/>
    </row>
    <row r="9" spans="1:7" x14ac:dyDescent="0.25">
      <c r="A9" s="584" t="s">
        <v>14</v>
      </c>
      <c r="B9" s="585"/>
      <c r="C9" s="604"/>
      <c r="D9" s="142">
        <v>664000</v>
      </c>
      <c r="E9" s="142"/>
      <c r="F9" s="142">
        <v>724000</v>
      </c>
      <c r="G9" s="142"/>
    </row>
    <row r="10" spans="1:7" x14ac:dyDescent="0.25">
      <c r="A10" s="584" t="s">
        <v>15</v>
      </c>
      <c r="B10" s="585"/>
      <c r="C10" s="604"/>
      <c r="D10" s="142"/>
      <c r="E10" s="142"/>
      <c r="F10" s="142"/>
      <c r="G10" s="142"/>
    </row>
    <row r="11" spans="1:7" x14ac:dyDescent="0.25">
      <c r="A11" s="584" t="s">
        <v>16</v>
      </c>
      <c r="B11" s="585"/>
      <c r="C11" s="604"/>
      <c r="D11" s="142"/>
      <c r="E11" s="142"/>
      <c r="F11" s="142"/>
      <c r="G11" s="142"/>
    </row>
    <row r="12" spans="1:7" x14ac:dyDescent="0.25">
      <c r="A12" s="584" t="s">
        <v>17</v>
      </c>
      <c r="B12" s="585"/>
      <c r="C12" s="604"/>
      <c r="D12" s="142"/>
      <c r="E12" s="142"/>
      <c r="F12" s="142"/>
      <c r="G12" s="142"/>
    </row>
    <row r="13" spans="1:7" x14ac:dyDescent="0.25">
      <c r="A13" s="78"/>
      <c r="B13" s="78"/>
    </row>
    <row r="14" spans="1:7" x14ac:dyDescent="0.25">
      <c r="A14" s="113" t="s">
        <v>573</v>
      </c>
      <c r="B14" s="78" t="s">
        <v>421</v>
      </c>
    </row>
    <row r="15" spans="1:7" x14ac:dyDescent="0.25">
      <c r="A15" s="586" t="s">
        <v>407</v>
      </c>
      <c r="B15" s="586"/>
      <c r="C15" s="586"/>
      <c r="D15" s="586" t="s">
        <v>413</v>
      </c>
    </row>
    <row r="16" spans="1:7" x14ac:dyDescent="0.25">
      <c r="A16" s="586"/>
      <c r="B16" s="586"/>
      <c r="C16" s="586"/>
      <c r="D16" s="586"/>
    </row>
    <row r="17" spans="1:7" x14ac:dyDescent="0.25">
      <c r="A17" s="593" t="s">
        <v>408</v>
      </c>
      <c r="B17" s="593"/>
      <c r="C17" s="593"/>
      <c r="D17" s="143">
        <v>200000</v>
      </c>
    </row>
    <row r="18" spans="1:7" x14ac:dyDescent="0.25">
      <c r="A18" s="593" t="s">
        <v>409</v>
      </c>
      <c r="B18" s="593"/>
      <c r="C18" s="593"/>
      <c r="D18" s="143">
        <v>200000</v>
      </c>
    </row>
    <row r="19" spans="1:7" x14ac:dyDescent="0.25">
      <c r="A19" s="593" t="s">
        <v>410</v>
      </c>
      <c r="B19" s="593"/>
      <c r="C19" s="593"/>
      <c r="D19" s="143">
        <v>70000</v>
      </c>
    </row>
    <row r="20" spans="1:7" x14ac:dyDescent="0.25">
      <c r="A20" s="593" t="s">
        <v>411</v>
      </c>
      <c r="B20" s="593"/>
      <c r="C20" s="593"/>
      <c r="D20" s="143">
        <v>60000</v>
      </c>
    </row>
    <row r="21" spans="1:7" x14ac:dyDescent="0.25">
      <c r="A21" s="593" t="s">
        <v>412</v>
      </c>
      <c r="B21" s="593"/>
      <c r="C21" s="593"/>
      <c r="D21" s="143">
        <v>15000</v>
      </c>
    </row>
    <row r="22" spans="1:7" x14ac:dyDescent="0.25">
      <c r="A22" s="78"/>
      <c r="B22" s="78"/>
    </row>
    <row r="23" spans="1:7" x14ac:dyDescent="0.25">
      <c r="A23" s="78" t="s">
        <v>574</v>
      </c>
      <c r="B23" s="78" t="s">
        <v>75</v>
      </c>
    </row>
    <row r="24" spans="1:7" x14ac:dyDescent="0.25">
      <c r="A24" s="600" t="s">
        <v>8</v>
      </c>
      <c r="B24" s="601"/>
      <c r="C24" s="606"/>
      <c r="D24" s="597" t="s">
        <v>6</v>
      </c>
      <c r="E24" s="597"/>
      <c r="F24" s="597" t="s">
        <v>7</v>
      </c>
      <c r="G24" s="597"/>
    </row>
    <row r="25" spans="1:7" x14ac:dyDescent="0.25">
      <c r="A25" s="602"/>
      <c r="B25" s="603"/>
      <c r="C25" s="607"/>
      <c r="D25" s="129" t="s">
        <v>9</v>
      </c>
      <c r="E25" s="129" t="s">
        <v>10</v>
      </c>
      <c r="F25" s="129" t="s">
        <v>9</v>
      </c>
      <c r="G25" s="129" t="s">
        <v>10</v>
      </c>
    </row>
    <row r="26" spans="1:7" ht="15" customHeight="1" x14ac:dyDescent="0.25">
      <c r="A26" s="598" t="s">
        <v>11</v>
      </c>
      <c r="B26" s="599"/>
      <c r="C26" s="605"/>
      <c r="D26" s="138">
        <f>D6*'1.3 Frota Total'!C19</f>
        <v>5115000</v>
      </c>
      <c r="E26" s="138">
        <f>E6*'1.3 Frota Total'!D19</f>
        <v>0</v>
      </c>
      <c r="F26" s="138">
        <f>F6*'1.3 Frota Total'!E19</f>
        <v>0</v>
      </c>
      <c r="G26" s="138">
        <f>G6*'1.3 Frota Total'!F19</f>
        <v>0</v>
      </c>
    </row>
    <row r="27" spans="1:7" x14ac:dyDescent="0.25">
      <c r="A27" s="598" t="s">
        <v>12</v>
      </c>
      <c r="B27" s="599"/>
      <c r="C27" s="605"/>
      <c r="D27" s="138">
        <f>D7*'1.3 Frota Total'!C20</f>
        <v>0</v>
      </c>
      <c r="E27" s="138">
        <f>E7*'1.3 Frota Total'!D20</f>
        <v>0</v>
      </c>
      <c r="F27" s="138">
        <f>F7*'1.3 Frota Total'!E20</f>
        <v>0</v>
      </c>
      <c r="G27" s="138">
        <f>G7*'1.3 Frota Total'!F20</f>
        <v>0</v>
      </c>
    </row>
    <row r="28" spans="1:7" x14ac:dyDescent="0.25">
      <c r="A28" s="598" t="s">
        <v>13</v>
      </c>
      <c r="B28" s="599"/>
      <c r="C28" s="605"/>
      <c r="D28" s="138">
        <f>D8*'1.3 Frota Total'!C21</f>
        <v>8216000</v>
      </c>
      <c r="E28" s="138">
        <f>E8*'1.3 Frota Total'!D21</f>
        <v>0</v>
      </c>
      <c r="F28" s="138">
        <f>F8*'1.3 Frota Total'!E21</f>
        <v>8970000</v>
      </c>
      <c r="G28" s="138">
        <f>G8*'1.3 Frota Total'!F21</f>
        <v>0</v>
      </c>
    </row>
    <row r="29" spans="1:7" x14ac:dyDescent="0.25">
      <c r="A29" s="598" t="s">
        <v>14</v>
      </c>
      <c r="B29" s="599"/>
      <c r="C29" s="605"/>
      <c r="D29" s="138">
        <f>D9*'1.3 Frota Total'!C22</f>
        <v>0</v>
      </c>
      <c r="E29" s="138">
        <f>E9*'1.3 Frota Total'!D22</f>
        <v>0</v>
      </c>
      <c r="F29" s="138">
        <f>F9*'1.3 Frota Total'!E22</f>
        <v>3620000</v>
      </c>
      <c r="G29" s="138">
        <f>G9*'1.3 Frota Total'!F22</f>
        <v>0</v>
      </c>
    </row>
    <row r="30" spans="1:7" x14ac:dyDescent="0.25">
      <c r="A30" s="598" t="s">
        <v>15</v>
      </c>
      <c r="B30" s="599"/>
      <c r="C30" s="605"/>
      <c r="D30" s="138">
        <f>D10*'1.3 Frota Total'!C23</f>
        <v>0</v>
      </c>
      <c r="E30" s="138">
        <f>E10*'1.3 Frota Total'!D23</f>
        <v>0</v>
      </c>
      <c r="F30" s="138">
        <f>F10*'1.3 Frota Total'!E23</f>
        <v>0</v>
      </c>
      <c r="G30" s="138">
        <f>G10*'1.3 Frota Total'!F23</f>
        <v>0</v>
      </c>
    </row>
    <row r="31" spans="1:7" x14ac:dyDescent="0.25">
      <c r="A31" s="598" t="s">
        <v>16</v>
      </c>
      <c r="B31" s="599"/>
      <c r="C31" s="605"/>
      <c r="D31" s="138">
        <f>D11*'1.3 Frota Total'!C24</f>
        <v>0</v>
      </c>
      <c r="E31" s="138">
        <f>E11*'1.3 Frota Total'!D24</f>
        <v>0</v>
      </c>
      <c r="F31" s="138">
        <f>F11*'1.3 Frota Total'!E24</f>
        <v>0</v>
      </c>
      <c r="G31" s="138">
        <f>G11*'1.3 Frota Total'!F24</f>
        <v>0</v>
      </c>
    </row>
    <row r="32" spans="1:7" x14ac:dyDescent="0.25">
      <c r="A32" s="598" t="s">
        <v>17</v>
      </c>
      <c r="B32" s="599"/>
      <c r="C32" s="605"/>
      <c r="D32" s="138">
        <f>D12*'1.3 Frota Total'!C25</f>
        <v>0</v>
      </c>
      <c r="E32" s="138">
        <f>E12*'1.3 Frota Total'!D25</f>
        <v>0</v>
      </c>
      <c r="F32" s="138">
        <f>F12*'1.3 Frota Total'!E25</f>
        <v>0</v>
      </c>
      <c r="G32" s="138">
        <f>G12*'1.3 Frota Total'!F25</f>
        <v>0</v>
      </c>
    </row>
    <row r="34" spans="1:7" x14ac:dyDescent="0.25">
      <c r="A34" s="78" t="s">
        <v>575</v>
      </c>
      <c r="B34" s="78" t="s">
        <v>76</v>
      </c>
    </row>
    <row r="35" spans="1:7" x14ac:dyDescent="0.25">
      <c r="A35" s="600" t="s">
        <v>8</v>
      </c>
      <c r="B35" s="601"/>
      <c r="C35" s="606"/>
      <c r="D35" s="597" t="s">
        <v>6</v>
      </c>
      <c r="E35" s="597"/>
      <c r="F35" s="597" t="s">
        <v>7</v>
      </c>
      <c r="G35" s="597"/>
    </row>
    <row r="36" spans="1:7" x14ac:dyDescent="0.25">
      <c r="A36" s="602"/>
      <c r="B36" s="603"/>
      <c r="C36" s="607"/>
      <c r="D36" s="129" t="s">
        <v>9</v>
      </c>
      <c r="E36" s="129" t="s">
        <v>10</v>
      </c>
      <c r="F36" s="129" t="s">
        <v>9</v>
      </c>
      <c r="G36" s="129" t="s">
        <v>10</v>
      </c>
    </row>
    <row r="37" spans="1:7" ht="15" customHeight="1" x14ac:dyDescent="0.25">
      <c r="A37" s="598" t="s">
        <v>11</v>
      </c>
      <c r="B37" s="599"/>
      <c r="C37" s="605"/>
      <c r="D37" s="138">
        <f>IF(D26&lt;&gt;0,'1.3 Frota Total'!C19,"")</f>
        <v>11</v>
      </c>
      <c r="E37" s="138" t="str">
        <f>IF(E26&lt;&gt;0,'1.3 Frota Total'!D19,"")</f>
        <v/>
      </c>
      <c r="F37" s="138" t="str">
        <f>IF(F26&lt;&gt;0,'1.3 Frota Total'!E19,"")</f>
        <v/>
      </c>
      <c r="G37" s="138" t="str">
        <f>IF(G26&lt;&gt;0,'1.3 Frota Total'!F19,"")</f>
        <v/>
      </c>
    </row>
    <row r="38" spans="1:7" x14ac:dyDescent="0.25">
      <c r="A38" s="598" t="s">
        <v>12</v>
      </c>
      <c r="B38" s="599"/>
      <c r="C38" s="605"/>
      <c r="D38" s="138" t="str">
        <f>IF(D27&lt;&gt;0,'1.3 Frota Total'!C20,"")</f>
        <v/>
      </c>
      <c r="E38" s="138" t="str">
        <f>IF(E27&lt;&gt;0,'1.3 Frota Total'!D20,"")</f>
        <v/>
      </c>
      <c r="F38" s="138" t="str">
        <f>IF(F27&lt;&gt;0,'1.3 Frota Total'!E20,"")</f>
        <v/>
      </c>
      <c r="G38" s="138" t="str">
        <f>IF(G27&lt;&gt;0,'1.3 Frota Total'!F20,"")</f>
        <v/>
      </c>
    </row>
    <row r="39" spans="1:7" x14ac:dyDescent="0.25">
      <c r="A39" s="598" t="s">
        <v>13</v>
      </c>
      <c r="B39" s="599"/>
      <c r="C39" s="605"/>
      <c r="D39" s="138">
        <f>IF(D28&lt;&gt;0,'1.3 Frota Total'!C21,"")</f>
        <v>13</v>
      </c>
      <c r="E39" s="138" t="str">
        <f>IF(E28&lt;&gt;0,'1.3 Frota Total'!D21,"")</f>
        <v/>
      </c>
      <c r="F39" s="138">
        <f>IF(F28&lt;&gt;0,'1.3 Frota Total'!E21,"")</f>
        <v>13</v>
      </c>
      <c r="G39" s="138" t="str">
        <f>IF(G28&lt;&gt;0,'1.3 Frota Total'!F21,"")</f>
        <v/>
      </c>
    </row>
    <row r="40" spans="1:7" x14ac:dyDescent="0.25">
      <c r="A40" s="598" t="s">
        <v>14</v>
      </c>
      <c r="B40" s="599"/>
      <c r="C40" s="605"/>
      <c r="D40" s="138" t="str">
        <f>IF(D29&lt;&gt;0,'1.3 Frota Total'!C22,"")</f>
        <v/>
      </c>
      <c r="E40" s="138" t="str">
        <f>IF(E29&lt;&gt;0,'1.3 Frota Total'!D22,"")</f>
        <v/>
      </c>
      <c r="F40" s="138">
        <f>IF(F29&lt;&gt;0,'1.3 Frota Total'!E22,"")</f>
        <v>5</v>
      </c>
      <c r="G40" s="138" t="str">
        <f>IF(G29&lt;&gt;0,'1.3 Frota Total'!F22,"")</f>
        <v/>
      </c>
    </row>
    <row r="41" spans="1:7" x14ac:dyDescent="0.25">
      <c r="A41" s="598" t="s">
        <v>15</v>
      </c>
      <c r="B41" s="599"/>
      <c r="C41" s="605"/>
      <c r="D41" s="138" t="str">
        <f>IF(D30&lt;&gt;0,'1.3 Frota Total'!C23,"")</f>
        <v/>
      </c>
      <c r="E41" s="138" t="str">
        <f>IF(E30&lt;&gt;0,'1.3 Frota Total'!D23,"")</f>
        <v/>
      </c>
      <c r="F41" s="138" t="str">
        <f>IF(F30&lt;&gt;0,'1.3 Frota Total'!E23,"")</f>
        <v/>
      </c>
      <c r="G41" s="138" t="str">
        <f>IF(G30&lt;&gt;0,'1.3 Frota Total'!F23,"")</f>
        <v/>
      </c>
    </row>
    <row r="42" spans="1:7" x14ac:dyDescent="0.25">
      <c r="A42" s="598" t="s">
        <v>16</v>
      </c>
      <c r="B42" s="599"/>
      <c r="C42" s="605"/>
      <c r="D42" s="138" t="str">
        <f>IF(D31&lt;&gt;0,'1.3 Frota Total'!C24,"")</f>
        <v/>
      </c>
      <c r="E42" s="138" t="str">
        <f>IF(E31&lt;&gt;0,'1.3 Frota Total'!D24,"")</f>
        <v/>
      </c>
      <c r="F42" s="138" t="str">
        <f>IF(F31&lt;&gt;0,'1.3 Frota Total'!E24,"")</f>
        <v/>
      </c>
      <c r="G42" s="138" t="str">
        <f>IF(G31&lt;&gt;0,'1.3 Frota Total'!F24,"")</f>
        <v/>
      </c>
    </row>
    <row r="43" spans="1:7" x14ac:dyDescent="0.25">
      <c r="A43" s="598" t="s">
        <v>17</v>
      </c>
      <c r="B43" s="599"/>
      <c r="C43" s="605"/>
      <c r="D43" s="138" t="str">
        <f>IF(D32&lt;&gt;0,'1.3 Frota Total'!C25,"")</f>
        <v/>
      </c>
      <c r="E43" s="138" t="str">
        <f>IF(E32&lt;&gt;0,'1.3 Frota Total'!D25,"")</f>
        <v/>
      </c>
      <c r="F43" s="138" t="str">
        <f>IF(F32&lt;&gt;0,'1.3 Frota Total'!E25,"")</f>
        <v/>
      </c>
      <c r="G43" s="138" t="str">
        <f>IF(G32&lt;&gt;0,'1.3 Frota Total'!F25,"")</f>
        <v/>
      </c>
    </row>
    <row r="44" spans="1:7" s="139" customFormat="1" ht="12.75" x14ac:dyDescent="0.2"/>
    <row r="45" spans="1:7" x14ac:dyDescent="0.25">
      <c r="A45" s="78" t="s">
        <v>761</v>
      </c>
      <c r="B45" s="78" t="s">
        <v>233</v>
      </c>
    </row>
    <row r="46" spans="1:7" x14ac:dyDescent="0.25">
      <c r="A46" s="600" t="s">
        <v>8</v>
      </c>
      <c r="B46" s="601"/>
      <c r="C46" s="606"/>
      <c r="D46" s="597" t="s">
        <v>6</v>
      </c>
      <c r="E46" s="597"/>
      <c r="F46" s="597" t="s">
        <v>7</v>
      </c>
      <c r="G46" s="597"/>
    </row>
    <row r="47" spans="1:7" x14ac:dyDescent="0.25">
      <c r="A47" s="602"/>
      <c r="B47" s="603"/>
      <c r="C47" s="607"/>
      <c r="D47" s="129" t="s">
        <v>9</v>
      </c>
      <c r="E47" s="129" t="s">
        <v>10</v>
      </c>
      <c r="F47" s="129" t="s">
        <v>9</v>
      </c>
      <c r="G47" s="129" t="s">
        <v>10</v>
      </c>
    </row>
    <row r="48" spans="1:7" ht="15" customHeight="1" x14ac:dyDescent="0.25">
      <c r="A48" s="598" t="s">
        <v>11</v>
      </c>
      <c r="B48" s="599"/>
      <c r="C48" s="605"/>
      <c r="D48" s="140">
        <f>IF(D6&gt;0,D6-('A.VI. Rodagem'!$D43),"")</f>
        <v>456849.06</v>
      </c>
      <c r="E48" s="140" t="str">
        <f>IF(E6&gt;0,E6-('A.VI. Rodagem'!$D43),"")</f>
        <v/>
      </c>
      <c r="F48" s="140">
        <f>IF(F6&gt;0,F6-('A.VI. Rodagem'!$D43),"")</f>
        <v>514849.06</v>
      </c>
      <c r="G48" s="140" t="str">
        <f>IF(G6&gt;0,G6-('A.VI. Rodagem'!$D43),"")</f>
        <v/>
      </c>
    </row>
    <row r="49" spans="1:7" x14ac:dyDescent="0.25">
      <c r="A49" s="598" t="s">
        <v>12</v>
      </c>
      <c r="B49" s="599"/>
      <c r="C49" s="605"/>
      <c r="D49" s="140" t="str">
        <f>IF(D7&gt;0,D7-('A.VI. Rodagem'!$D44),"")</f>
        <v/>
      </c>
      <c r="E49" s="140" t="str">
        <f>IF(E7&gt;0,E7-('A.VI. Rodagem'!$D44),"")</f>
        <v/>
      </c>
      <c r="F49" s="140" t="str">
        <f>IF(F7&gt;0,F7-('A.VI. Rodagem'!$D44),"")</f>
        <v/>
      </c>
      <c r="G49" s="140" t="str">
        <f>IF(G7&gt;0,G7-('A.VI. Rodagem'!$D44),"")</f>
        <v/>
      </c>
    </row>
    <row r="50" spans="1:7" x14ac:dyDescent="0.25">
      <c r="A50" s="598" t="s">
        <v>13</v>
      </c>
      <c r="B50" s="599"/>
      <c r="C50" s="605"/>
      <c r="D50" s="140">
        <f>IF(D8&gt;0,D8-('A.VI. Rodagem'!$D45),"")</f>
        <v>618605.06000000006</v>
      </c>
      <c r="E50" s="140" t="str">
        <f>IF(E8&gt;0,E8-('A.VI. Rodagem'!$D45),"")</f>
        <v/>
      </c>
      <c r="F50" s="140">
        <f>IF(F8&gt;0,F8-('A.VI. Rodagem'!$D45),"")</f>
        <v>676605.06</v>
      </c>
      <c r="G50" s="140" t="str">
        <f>IF(G8&gt;0,G8-('A.VI. Rodagem'!$D45),"")</f>
        <v/>
      </c>
    </row>
    <row r="51" spans="1:7" x14ac:dyDescent="0.25">
      <c r="A51" s="598" t="s">
        <v>14</v>
      </c>
      <c r="B51" s="599"/>
      <c r="C51" s="605"/>
      <c r="D51" s="140">
        <f>IF(D9&gt;0,D9-('A.VI. Rodagem'!$D46),"")</f>
        <v>650605.06000000006</v>
      </c>
      <c r="E51" s="140" t="str">
        <f>IF(E9&gt;0,E9-('A.VI. Rodagem'!$D46),"")</f>
        <v/>
      </c>
      <c r="F51" s="140">
        <f>IF(F9&gt;0,F9-('A.VI. Rodagem'!$D46),"")</f>
        <v>710605.06</v>
      </c>
      <c r="G51" s="140" t="str">
        <f>IF(G9&gt;0,G9-('A.VI. Rodagem'!$D46),"")</f>
        <v/>
      </c>
    </row>
    <row r="52" spans="1:7" x14ac:dyDescent="0.25">
      <c r="A52" s="598" t="s">
        <v>15</v>
      </c>
      <c r="B52" s="599"/>
      <c r="C52" s="605"/>
      <c r="D52" s="140" t="str">
        <f>IF(D10&gt;0,D10-('A.VI. Rodagem'!$D47),"")</f>
        <v/>
      </c>
      <c r="E52" s="140" t="str">
        <f>IF(E10&gt;0,E10-('A.VI. Rodagem'!$D47),"")</f>
        <v/>
      </c>
      <c r="F52" s="140" t="str">
        <f>IF(F10&gt;0,F10-('A.VI. Rodagem'!$D47),"")</f>
        <v/>
      </c>
      <c r="G52" s="140" t="str">
        <f>IF(G10&gt;0,G10-('A.VI. Rodagem'!$D47),"")</f>
        <v/>
      </c>
    </row>
    <row r="53" spans="1:7" x14ac:dyDescent="0.25">
      <c r="A53" s="598" t="s">
        <v>16</v>
      </c>
      <c r="B53" s="599"/>
      <c r="C53" s="605"/>
      <c r="D53" s="140" t="str">
        <f>IF(D11&gt;0,D11-('A.VI. Rodagem'!$D48),"")</f>
        <v/>
      </c>
      <c r="E53" s="140" t="str">
        <f>IF(E11&gt;0,E11-('A.VI. Rodagem'!$D48),"")</f>
        <v/>
      </c>
      <c r="F53" s="140" t="str">
        <f>IF(F11&gt;0,F11-('A.VI. Rodagem'!$D48),"")</f>
        <v/>
      </c>
      <c r="G53" s="140" t="str">
        <f>IF(G11&gt;0,G11-('A.VI. Rodagem'!$D48),"")</f>
        <v/>
      </c>
    </row>
    <row r="54" spans="1:7" x14ac:dyDescent="0.25">
      <c r="A54" s="598" t="s">
        <v>17</v>
      </c>
      <c r="B54" s="599"/>
      <c r="C54" s="605"/>
      <c r="D54" s="140" t="str">
        <f>IF(D12&gt;0,D12-('A.VI. Rodagem'!$D49),"")</f>
        <v/>
      </c>
      <c r="E54" s="140" t="str">
        <f>IF(E12&gt;0,E12-('A.VI. Rodagem'!$D49),"")</f>
        <v/>
      </c>
      <c r="F54" s="140" t="str">
        <f>IF(F12&gt;0,F12-('A.VI. Rodagem'!$D49),"")</f>
        <v/>
      </c>
      <c r="G54" s="140" t="str">
        <f>IF(G12&gt;0,G12-('A.VI. Rodagem'!$D49),"")</f>
        <v/>
      </c>
    </row>
    <row r="55" spans="1:7" x14ac:dyDescent="0.25">
      <c r="A55" s="78"/>
      <c r="B55" s="78"/>
    </row>
    <row r="57" spans="1:7" ht="21" x14ac:dyDescent="0.25">
      <c r="A57" s="608" t="s">
        <v>231</v>
      </c>
      <c r="B57" s="609"/>
      <c r="C57" s="610"/>
      <c r="D57" s="141">
        <f>SUM(D26:G32)/SUM(D37:G43)</f>
        <v>617166.66666666663</v>
      </c>
    </row>
    <row r="58" spans="1:7" ht="21" x14ac:dyDescent="0.25">
      <c r="A58" s="608" t="s">
        <v>232</v>
      </c>
      <c r="B58" s="609"/>
      <c r="C58" s="610"/>
      <c r="D58" s="141">
        <f>D9</f>
        <v>664000</v>
      </c>
    </row>
  </sheetData>
  <sheetProtection password="E299" sheet="1"/>
  <mergeCells count="49">
    <mergeCell ref="F46:G46"/>
    <mergeCell ref="A42:C42"/>
    <mergeCell ref="A26:C26"/>
    <mergeCell ref="A28:C28"/>
    <mergeCell ref="D35:E35"/>
    <mergeCell ref="A38:C38"/>
    <mergeCell ref="D46:E46"/>
    <mergeCell ref="A39:C39"/>
    <mergeCell ref="A40:C40"/>
    <mergeCell ref="A27:C27"/>
    <mergeCell ref="A32:C32"/>
    <mergeCell ref="A31:C31"/>
    <mergeCell ref="A35:C36"/>
    <mergeCell ref="A29:C29"/>
    <mergeCell ref="F35:G35"/>
    <mergeCell ref="A37:C37"/>
    <mergeCell ref="A21:C21"/>
    <mergeCell ref="A19:C19"/>
    <mergeCell ref="A20:C20"/>
    <mergeCell ref="A6:C6"/>
    <mergeCell ref="A7:C7"/>
    <mergeCell ref="A58:C58"/>
    <mergeCell ref="A48:C48"/>
    <mergeCell ref="A46:C47"/>
    <mergeCell ref="A57:C57"/>
    <mergeCell ref="A41:C41"/>
    <mergeCell ref="A52:C52"/>
    <mergeCell ref="A49:C49"/>
    <mergeCell ref="A50:C50"/>
    <mergeCell ref="A43:C43"/>
    <mergeCell ref="A54:C54"/>
    <mergeCell ref="A53:C53"/>
    <mergeCell ref="A51:C51"/>
    <mergeCell ref="A4:C5"/>
    <mergeCell ref="A8:C8"/>
    <mergeCell ref="D15:D16"/>
    <mergeCell ref="F4:G4"/>
    <mergeCell ref="A30:C30"/>
    <mergeCell ref="A17:C17"/>
    <mergeCell ref="F24:G24"/>
    <mergeCell ref="A11:C11"/>
    <mergeCell ref="A15:C16"/>
    <mergeCell ref="D4:E4"/>
    <mergeCell ref="A18:C18"/>
    <mergeCell ref="D24:E24"/>
    <mergeCell ref="A9:C9"/>
    <mergeCell ref="A12:C12"/>
    <mergeCell ref="A24:C25"/>
    <mergeCell ref="A10:C10"/>
  </mergeCells>
  <pageMargins left="0.19685039370078741" right="0.19685039370078741" top="0.74803149606299213" bottom="0.74803149606299213" header="0.31496062992125984" footer="0.31496062992125984"/>
  <pageSetup paperSize="9" scale="75" orientation="landscape" verticalDpi="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8">
    <tabColor theme="9" tint="0.59999389629810485"/>
  </sheetPr>
  <dimension ref="A1:O105"/>
  <sheetViews>
    <sheetView showGridLines="0" workbookViewId="0">
      <selection activeCell="K19" sqref="K19"/>
    </sheetView>
  </sheetViews>
  <sheetFormatPr defaultColWidth="9.140625" defaultRowHeight="12.75" x14ac:dyDescent="0.2"/>
  <cols>
    <col min="1" max="1" width="4.7109375" style="144" bestFit="1" customWidth="1"/>
    <col min="2" max="2" width="12.5703125" style="145" customWidth="1"/>
    <col min="3" max="3" width="6.28515625" style="145" bestFit="1" customWidth="1"/>
    <col min="4" max="4" width="19" style="145" bestFit="1" customWidth="1"/>
    <col min="5" max="5" width="35.85546875" style="145" customWidth="1"/>
    <col min="6" max="6" width="15.28515625" style="139" bestFit="1" customWidth="1"/>
    <col min="7" max="7" width="1.85546875" style="146" customWidth="1"/>
    <col min="8" max="8" width="15" style="145" bestFit="1" customWidth="1"/>
    <col min="9" max="9" width="3.7109375" style="146" customWidth="1"/>
    <col min="10" max="10" width="36.140625" style="147" customWidth="1"/>
    <col min="11" max="11" width="9.140625" style="139" customWidth="1"/>
    <col min="12" max="12" width="1.28515625" style="139" customWidth="1"/>
    <col min="13" max="13" width="9.140625" style="139" customWidth="1"/>
    <col min="14" max="14" width="38.7109375" style="139" bestFit="1" customWidth="1"/>
    <col min="15" max="15" width="1" style="139" customWidth="1"/>
    <col min="16" max="16384" width="9.140625" style="139"/>
  </cols>
  <sheetData>
    <row r="1" spans="1:15" x14ac:dyDescent="0.2">
      <c r="F1" s="145"/>
    </row>
    <row r="2" spans="1:15" x14ac:dyDescent="0.2">
      <c r="F2" s="145"/>
      <c r="K2" s="148"/>
    </row>
    <row r="3" spans="1:15" ht="31.5" customHeight="1" x14ac:dyDescent="0.2">
      <c r="A3" s="149"/>
      <c r="B3" s="618" t="s">
        <v>938</v>
      </c>
      <c r="C3" s="618"/>
      <c r="D3" s="618"/>
      <c r="E3" s="618"/>
      <c r="F3" s="618"/>
      <c r="G3" s="618"/>
      <c r="H3" s="618"/>
      <c r="I3" s="618"/>
      <c r="J3" s="618"/>
    </row>
    <row r="4" spans="1:15" ht="24" customHeight="1" x14ac:dyDescent="0.2">
      <c r="B4" s="126" t="s">
        <v>786</v>
      </c>
    </row>
    <row r="5" spans="1:15" s="146" customFormat="1" x14ac:dyDescent="0.2">
      <c r="A5" s="144"/>
      <c r="B5" s="145"/>
      <c r="C5" s="145"/>
      <c r="D5" s="145"/>
      <c r="E5" s="145"/>
      <c r="H5" s="145"/>
    </row>
    <row r="6" spans="1:15" s="146" customFormat="1" x14ac:dyDescent="0.2">
      <c r="A6" s="144"/>
      <c r="B6" s="145"/>
      <c r="C6" s="145"/>
      <c r="D6" s="145"/>
      <c r="E6" s="145"/>
      <c r="H6" s="145"/>
      <c r="J6" s="150"/>
    </row>
    <row r="7" spans="1:15" s="146" customFormat="1" x14ac:dyDescent="0.2">
      <c r="A7" s="144"/>
      <c r="B7" s="145"/>
      <c r="C7" s="145"/>
      <c r="D7" s="145"/>
      <c r="E7" s="145"/>
      <c r="H7" s="145"/>
      <c r="J7" s="150" t="s">
        <v>69</v>
      </c>
    </row>
    <row r="8" spans="1:15" s="146" customFormat="1" x14ac:dyDescent="0.2">
      <c r="A8" s="144" t="s">
        <v>21</v>
      </c>
      <c r="B8" s="613" t="s">
        <v>44</v>
      </c>
      <c r="C8" s="613"/>
      <c r="D8" s="613"/>
      <c r="E8" s="151"/>
      <c r="H8" s="145"/>
      <c r="J8" s="147"/>
    </row>
    <row r="9" spans="1:15" ht="15.75" thickBot="1" x14ac:dyDescent="0.3">
      <c r="C9" s="152" t="s">
        <v>630</v>
      </c>
      <c r="D9" s="613" t="s">
        <v>168</v>
      </c>
      <c r="E9" s="614"/>
      <c r="F9" s="173">
        <v>5.76</v>
      </c>
      <c r="G9" s="153"/>
      <c r="H9" s="154" t="s">
        <v>49</v>
      </c>
      <c r="J9" s="155" t="s">
        <v>87</v>
      </c>
    </row>
    <row r="10" spans="1:15" ht="15.75" thickBot="1" x14ac:dyDescent="0.25">
      <c r="F10" s="146"/>
      <c r="J10" s="155"/>
      <c r="L10" s="537" t="s">
        <v>84</v>
      </c>
      <c r="M10" s="538"/>
      <c r="N10" s="538"/>
      <c r="O10" s="539"/>
    </row>
    <row r="11" spans="1:15" ht="15" x14ac:dyDescent="0.25">
      <c r="A11" s="144" t="s">
        <v>23</v>
      </c>
      <c r="B11" s="613" t="s">
        <v>51</v>
      </c>
      <c r="C11" s="613"/>
      <c r="D11" s="613"/>
      <c r="E11" s="151"/>
      <c r="F11" s="146"/>
      <c r="J11" s="155"/>
      <c r="L11" s="62"/>
      <c r="M11" s="63"/>
      <c r="N11" s="63"/>
      <c r="O11" s="64"/>
    </row>
    <row r="12" spans="1:15" ht="26.25" customHeight="1" x14ac:dyDescent="0.25">
      <c r="C12" s="156" t="s">
        <v>631</v>
      </c>
      <c r="D12" s="611" t="s">
        <v>169</v>
      </c>
      <c r="E12" s="612"/>
      <c r="F12" s="174">
        <v>2.5999999999999999E-2</v>
      </c>
      <c r="G12" s="157"/>
      <c r="H12" s="158" t="s">
        <v>235</v>
      </c>
      <c r="J12" s="159" t="s">
        <v>68</v>
      </c>
      <c r="L12" s="65"/>
      <c r="M12" s="66"/>
      <c r="N12" s="67" t="s">
        <v>82</v>
      </c>
      <c r="O12" s="68"/>
    </row>
    <row r="13" spans="1:15" ht="15" x14ac:dyDescent="0.25">
      <c r="F13" s="146"/>
      <c r="J13" s="160"/>
      <c r="L13" s="65"/>
      <c r="M13" s="71"/>
      <c r="N13" s="67" t="s">
        <v>94</v>
      </c>
      <c r="O13" s="68"/>
    </row>
    <row r="14" spans="1:15" ht="15" x14ac:dyDescent="0.25">
      <c r="A14" s="144" t="s">
        <v>29</v>
      </c>
      <c r="B14" s="145" t="s">
        <v>45</v>
      </c>
      <c r="F14" s="146"/>
      <c r="H14" s="146"/>
      <c r="J14" s="160"/>
      <c r="L14" s="65"/>
      <c r="M14" s="72"/>
      <c r="N14" s="67" t="s">
        <v>83</v>
      </c>
      <c r="O14" s="68"/>
    </row>
    <row r="15" spans="1:15" ht="15.75" thickBot="1" x14ac:dyDescent="0.3">
      <c r="C15" s="152" t="s">
        <v>632</v>
      </c>
      <c r="D15" s="613" t="s">
        <v>170</v>
      </c>
      <c r="E15" s="614"/>
      <c r="F15" s="173">
        <v>4</v>
      </c>
      <c r="G15" s="153"/>
      <c r="H15" s="154" t="s">
        <v>49</v>
      </c>
      <c r="J15" s="155" t="s">
        <v>87</v>
      </c>
      <c r="L15" s="73"/>
      <c r="M15" s="74"/>
      <c r="N15" s="74"/>
      <c r="O15" s="75"/>
    </row>
    <row r="16" spans="1:15" ht="30" customHeight="1" x14ac:dyDescent="0.2">
      <c r="C16" s="156" t="s">
        <v>633</v>
      </c>
      <c r="D16" s="611" t="s">
        <v>171</v>
      </c>
      <c r="E16" s="612"/>
      <c r="F16" s="175">
        <v>0.04</v>
      </c>
      <c r="G16" s="157"/>
      <c r="H16" s="158" t="s">
        <v>52</v>
      </c>
      <c r="J16" s="159" t="s">
        <v>71</v>
      </c>
    </row>
    <row r="17" spans="1:10" x14ac:dyDescent="0.2">
      <c r="F17" s="146"/>
      <c r="J17" s="160"/>
    </row>
    <row r="18" spans="1:10" x14ac:dyDescent="0.2">
      <c r="A18" s="144" t="s">
        <v>30</v>
      </c>
      <c r="B18" s="145" t="s">
        <v>46</v>
      </c>
      <c r="D18" s="126" t="s">
        <v>774</v>
      </c>
      <c r="F18" s="146"/>
      <c r="H18" s="146"/>
      <c r="J18" s="160"/>
    </row>
    <row r="19" spans="1:10" ht="15" x14ac:dyDescent="0.25">
      <c r="C19" s="615" t="s">
        <v>634</v>
      </c>
      <c r="D19" s="616" t="s">
        <v>53</v>
      </c>
      <c r="E19" s="145" t="s">
        <v>172</v>
      </c>
      <c r="F19" s="123">
        <v>1358.49</v>
      </c>
      <c r="G19" s="153"/>
      <c r="H19" s="154" t="s">
        <v>55</v>
      </c>
      <c r="J19" s="155" t="s">
        <v>87</v>
      </c>
    </row>
    <row r="20" spans="1:10" ht="15" x14ac:dyDescent="0.25">
      <c r="C20" s="615"/>
      <c r="D20" s="616"/>
      <c r="E20" s="145" t="s">
        <v>173</v>
      </c>
      <c r="F20" s="123">
        <v>2232.4899999999998</v>
      </c>
      <c r="G20" s="153"/>
      <c r="H20" s="154" t="s">
        <v>55</v>
      </c>
      <c r="J20" s="155" t="s">
        <v>87</v>
      </c>
    </row>
    <row r="21" spans="1:10" ht="15" x14ac:dyDescent="0.25">
      <c r="C21" s="615"/>
      <c r="D21" s="616"/>
      <c r="E21" s="145" t="s">
        <v>174</v>
      </c>
      <c r="F21" s="123">
        <v>2346.4899999999998</v>
      </c>
      <c r="G21" s="153"/>
      <c r="H21" s="154" t="s">
        <v>55</v>
      </c>
      <c r="J21" s="155" t="s">
        <v>87</v>
      </c>
    </row>
    <row r="22" spans="1:10" ht="15" x14ac:dyDescent="0.25">
      <c r="C22" s="615" t="s">
        <v>635</v>
      </c>
      <c r="D22" s="619" t="s">
        <v>54</v>
      </c>
      <c r="E22" s="145" t="s">
        <v>172</v>
      </c>
      <c r="F22" s="123">
        <v>407.55</v>
      </c>
      <c r="G22" s="153"/>
      <c r="H22" s="154" t="s">
        <v>55</v>
      </c>
      <c r="J22" s="155" t="s">
        <v>87</v>
      </c>
    </row>
    <row r="23" spans="1:10" ht="15" x14ac:dyDescent="0.25">
      <c r="C23" s="615"/>
      <c r="D23" s="619"/>
      <c r="E23" s="145" t="s">
        <v>173</v>
      </c>
      <c r="F23" s="123">
        <v>669.75</v>
      </c>
      <c r="G23" s="153"/>
      <c r="H23" s="154" t="s">
        <v>55</v>
      </c>
      <c r="J23" s="155" t="s">
        <v>87</v>
      </c>
    </row>
    <row r="24" spans="1:10" ht="15" x14ac:dyDescent="0.25">
      <c r="C24" s="615"/>
      <c r="D24" s="619"/>
      <c r="E24" s="145" t="s">
        <v>174</v>
      </c>
      <c r="F24" s="123">
        <v>703.95</v>
      </c>
      <c r="G24" s="153"/>
      <c r="H24" s="154" t="s">
        <v>55</v>
      </c>
      <c r="J24" s="155" t="s">
        <v>87</v>
      </c>
    </row>
    <row r="25" spans="1:10" x14ac:dyDescent="0.2">
      <c r="F25" s="146"/>
      <c r="H25" s="146"/>
      <c r="J25" s="160"/>
    </row>
    <row r="26" spans="1:10" x14ac:dyDescent="0.2">
      <c r="F26" s="146"/>
      <c r="H26" s="146"/>
      <c r="J26" s="160"/>
    </row>
    <row r="27" spans="1:10" x14ac:dyDescent="0.2">
      <c r="A27" s="144" t="s">
        <v>619</v>
      </c>
      <c r="B27" s="145" t="s">
        <v>72</v>
      </c>
      <c r="F27" s="146"/>
      <c r="H27" s="146"/>
      <c r="J27" s="160"/>
    </row>
    <row r="28" spans="1:10" ht="25.5" customHeight="1" x14ac:dyDescent="0.2">
      <c r="C28" s="156" t="s">
        <v>636</v>
      </c>
      <c r="D28" s="611" t="s">
        <v>252</v>
      </c>
      <c r="E28" s="612"/>
      <c r="F28" s="176">
        <v>1.2500000000000001E-2</v>
      </c>
      <c r="G28" s="157"/>
      <c r="H28" s="158" t="s">
        <v>52</v>
      </c>
      <c r="J28" s="159" t="s">
        <v>73</v>
      </c>
    </row>
    <row r="29" spans="1:10" x14ac:dyDescent="0.2">
      <c r="F29" s="146"/>
      <c r="H29" s="146"/>
      <c r="J29" s="155"/>
    </row>
    <row r="30" spans="1:10" x14ac:dyDescent="0.2">
      <c r="A30" s="144" t="s">
        <v>620</v>
      </c>
      <c r="B30" s="145" t="s">
        <v>47</v>
      </c>
      <c r="F30" s="146"/>
      <c r="H30" s="146"/>
      <c r="J30" s="155"/>
    </row>
    <row r="31" spans="1:10" ht="15" x14ac:dyDescent="0.25">
      <c r="C31" s="152" t="s">
        <v>637</v>
      </c>
      <c r="D31" s="613" t="s">
        <v>247</v>
      </c>
      <c r="E31" s="614"/>
      <c r="F31" s="161">
        <f>'2.1.b Veículos'!D58</f>
        <v>664000</v>
      </c>
      <c r="G31" s="153"/>
      <c r="H31" s="154" t="s">
        <v>74</v>
      </c>
      <c r="J31" s="159" t="s">
        <v>248</v>
      </c>
    </row>
    <row r="32" spans="1:10" x14ac:dyDescent="0.2">
      <c r="F32" s="146"/>
      <c r="H32" s="146"/>
      <c r="J32" s="159"/>
    </row>
    <row r="33" spans="1:14" x14ac:dyDescent="0.2">
      <c r="A33" s="144" t="s">
        <v>621</v>
      </c>
      <c r="B33" s="145" t="s">
        <v>48</v>
      </c>
      <c r="F33" s="146"/>
      <c r="H33" s="146"/>
    </row>
    <row r="34" spans="1:14" ht="15" x14ac:dyDescent="0.25">
      <c r="C34" s="152" t="s">
        <v>638</v>
      </c>
      <c r="D34" s="613" t="s">
        <v>175</v>
      </c>
      <c r="E34" s="614"/>
      <c r="F34" s="123">
        <v>2471.4</v>
      </c>
      <c r="H34" s="154" t="s">
        <v>159</v>
      </c>
      <c r="J34" s="155" t="s">
        <v>154</v>
      </c>
    </row>
    <row r="35" spans="1:14" ht="15" x14ac:dyDescent="0.25">
      <c r="C35" s="152" t="s">
        <v>639</v>
      </c>
      <c r="D35" s="613" t="s">
        <v>176</v>
      </c>
      <c r="E35" s="614"/>
      <c r="F35" s="123">
        <v>1482.55</v>
      </c>
      <c r="H35" s="154" t="s">
        <v>159</v>
      </c>
      <c r="J35" s="155" t="s">
        <v>154</v>
      </c>
    </row>
    <row r="36" spans="1:14" ht="15" x14ac:dyDescent="0.25">
      <c r="C36" s="152" t="s">
        <v>640</v>
      </c>
      <c r="D36" s="613" t="s">
        <v>177</v>
      </c>
      <c r="E36" s="614"/>
      <c r="F36" s="123">
        <f>F34</f>
        <v>2471.4</v>
      </c>
      <c r="H36" s="154" t="s">
        <v>159</v>
      </c>
      <c r="J36" s="155" t="s">
        <v>154</v>
      </c>
    </row>
    <row r="37" spans="1:14" ht="15" x14ac:dyDescent="0.25">
      <c r="C37" s="152" t="s">
        <v>641</v>
      </c>
      <c r="D37" s="613" t="s">
        <v>417</v>
      </c>
      <c r="E37" s="614"/>
      <c r="F37" s="123">
        <f>F34</f>
        <v>2471.4</v>
      </c>
      <c r="H37" s="154" t="s">
        <v>159</v>
      </c>
      <c r="J37" s="155"/>
    </row>
    <row r="38" spans="1:14" ht="15" x14ac:dyDescent="0.25">
      <c r="C38" s="152" t="s">
        <v>642</v>
      </c>
      <c r="D38" s="613" t="s">
        <v>178</v>
      </c>
      <c r="E38" s="614"/>
      <c r="F38" s="123">
        <f>(F34*0.08)+(404.78*0.95)</f>
        <v>582.25299999999993</v>
      </c>
      <c r="H38" s="154" t="s">
        <v>159</v>
      </c>
      <c r="J38" s="155" t="s">
        <v>154</v>
      </c>
    </row>
    <row r="39" spans="1:14" ht="15" x14ac:dyDescent="0.25">
      <c r="C39" s="152" t="s">
        <v>643</v>
      </c>
      <c r="D39" s="613" t="s">
        <v>179</v>
      </c>
      <c r="E39" s="614"/>
      <c r="F39" s="123">
        <f>(404.78*0.95)</f>
        <v>384.54099999999994</v>
      </c>
      <c r="H39" s="154" t="s">
        <v>159</v>
      </c>
      <c r="J39" s="155" t="s">
        <v>154</v>
      </c>
    </row>
    <row r="40" spans="1:14" ht="15" x14ac:dyDescent="0.25">
      <c r="C40" s="152" t="s">
        <v>644</v>
      </c>
      <c r="D40" s="613" t="s">
        <v>180</v>
      </c>
      <c r="E40" s="614"/>
      <c r="F40" s="123">
        <f>(404.78*0.95)</f>
        <v>384.54099999999994</v>
      </c>
      <c r="H40" s="154" t="s">
        <v>159</v>
      </c>
      <c r="J40" s="155" t="s">
        <v>154</v>
      </c>
      <c r="N40" s="162"/>
    </row>
    <row r="41" spans="1:14" ht="15" x14ac:dyDescent="0.25">
      <c r="C41" s="152" t="s">
        <v>645</v>
      </c>
      <c r="D41" s="613" t="s">
        <v>420</v>
      </c>
      <c r="E41" s="614"/>
      <c r="F41" s="123">
        <f>(404.78*0.95)</f>
        <v>384.54099999999994</v>
      </c>
      <c r="H41" s="154" t="s">
        <v>159</v>
      </c>
      <c r="J41" s="155"/>
      <c r="N41" s="162"/>
    </row>
    <row r="42" spans="1:14" ht="15" x14ac:dyDescent="0.25">
      <c r="C42" s="152" t="s">
        <v>646</v>
      </c>
      <c r="D42" s="613" t="s">
        <v>181</v>
      </c>
      <c r="E42" s="614"/>
      <c r="F42" s="177">
        <v>2.44</v>
      </c>
      <c r="H42" s="158" t="s">
        <v>52</v>
      </c>
      <c r="J42" s="159" t="s">
        <v>155</v>
      </c>
    </row>
    <row r="43" spans="1:14" ht="15" x14ac:dyDescent="0.25">
      <c r="C43" s="152" t="s">
        <v>647</v>
      </c>
      <c r="D43" s="613" t="s">
        <v>182</v>
      </c>
      <c r="E43" s="614"/>
      <c r="F43" s="177">
        <v>2.44</v>
      </c>
      <c r="H43" s="158" t="s">
        <v>52</v>
      </c>
      <c r="J43" s="159" t="s">
        <v>155</v>
      </c>
    </row>
    <row r="44" spans="1:14" ht="15" x14ac:dyDescent="0.25">
      <c r="C44" s="152" t="s">
        <v>648</v>
      </c>
      <c r="D44" s="613" t="s">
        <v>183</v>
      </c>
      <c r="E44" s="614"/>
      <c r="F44" s="178">
        <v>0.5</v>
      </c>
      <c r="H44" s="158" t="s">
        <v>52</v>
      </c>
      <c r="J44" s="159" t="s">
        <v>155</v>
      </c>
    </row>
    <row r="45" spans="1:14" ht="15" x14ac:dyDescent="0.25">
      <c r="C45" s="152" t="s">
        <v>649</v>
      </c>
      <c r="D45" s="151" t="s">
        <v>419</v>
      </c>
      <c r="E45" s="163"/>
      <c r="F45" s="178">
        <v>0.5</v>
      </c>
      <c r="H45" s="158" t="s">
        <v>52</v>
      </c>
      <c r="J45" s="159" t="s">
        <v>155</v>
      </c>
    </row>
    <row r="46" spans="1:14" ht="15" x14ac:dyDescent="0.25">
      <c r="C46" s="152" t="s">
        <v>650</v>
      </c>
      <c r="D46" s="613" t="s">
        <v>184</v>
      </c>
      <c r="E46" s="614"/>
      <c r="F46" s="177">
        <v>2.38</v>
      </c>
      <c r="H46" s="158" t="s">
        <v>52</v>
      </c>
      <c r="J46" s="159" t="s">
        <v>155</v>
      </c>
    </row>
    <row r="47" spans="1:14" ht="15" x14ac:dyDescent="0.25">
      <c r="C47" s="152" t="s">
        <v>651</v>
      </c>
      <c r="D47" s="613" t="s">
        <v>185</v>
      </c>
      <c r="E47" s="614"/>
      <c r="F47" s="177">
        <v>2.38</v>
      </c>
      <c r="H47" s="158" t="s">
        <v>52</v>
      </c>
      <c r="J47" s="159" t="s">
        <v>155</v>
      </c>
    </row>
    <row r="48" spans="1:14" ht="15" x14ac:dyDescent="0.25">
      <c r="C48" s="152" t="s">
        <v>652</v>
      </c>
      <c r="D48" s="613" t="s">
        <v>186</v>
      </c>
      <c r="E48" s="614"/>
      <c r="F48" s="177">
        <v>0.5</v>
      </c>
      <c r="H48" s="158" t="s">
        <v>52</v>
      </c>
      <c r="J48" s="159" t="s">
        <v>155</v>
      </c>
    </row>
    <row r="49" spans="1:10" ht="15" x14ac:dyDescent="0.25">
      <c r="C49" s="152" t="s">
        <v>653</v>
      </c>
      <c r="D49" s="151" t="s">
        <v>418</v>
      </c>
      <c r="E49" s="163"/>
      <c r="F49" s="178">
        <v>0.5</v>
      </c>
      <c r="H49" s="158" t="s">
        <v>52</v>
      </c>
      <c r="J49" s="159" t="s">
        <v>155</v>
      </c>
    </row>
    <row r="50" spans="1:10" ht="15" x14ac:dyDescent="0.25">
      <c r="C50" s="152" t="s">
        <v>654</v>
      </c>
      <c r="D50" s="613" t="s">
        <v>187</v>
      </c>
      <c r="E50" s="614"/>
      <c r="F50" s="179">
        <v>41.99</v>
      </c>
      <c r="H50" s="154" t="s">
        <v>70</v>
      </c>
      <c r="J50" s="155" t="s">
        <v>154</v>
      </c>
    </row>
    <row r="51" spans="1:10" s="167" customFormat="1" ht="44.25" customHeight="1" x14ac:dyDescent="0.2">
      <c r="A51" s="164"/>
      <c r="B51" s="165"/>
      <c r="C51" s="156" t="s">
        <v>655</v>
      </c>
      <c r="D51" s="611" t="s">
        <v>188</v>
      </c>
      <c r="E51" s="612"/>
      <c r="F51" s="180">
        <v>45</v>
      </c>
      <c r="G51" s="166"/>
      <c r="H51" s="158" t="s">
        <v>70</v>
      </c>
      <c r="I51" s="166"/>
      <c r="J51" s="159" t="s">
        <v>156</v>
      </c>
    </row>
    <row r="52" spans="1:10" x14ac:dyDescent="0.2">
      <c r="F52" s="146"/>
      <c r="H52" s="146"/>
    </row>
    <row r="53" spans="1:10" x14ac:dyDescent="0.2">
      <c r="A53" s="144" t="s">
        <v>622</v>
      </c>
      <c r="B53" s="145" t="s">
        <v>157</v>
      </c>
      <c r="F53" s="146"/>
      <c r="H53" s="146"/>
    </row>
    <row r="54" spans="1:10" ht="15" x14ac:dyDescent="0.25">
      <c r="C54" s="152" t="s">
        <v>656</v>
      </c>
      <c r="D54" s="613" t="s">
        <v>189</v>
      </c>
      <c r="E54" s="614"/>
      <c r="F54" s="123">
        <v>0</v>
      </c>
      <c r="H54" s="154" t="s">
        <v>158</v>
      </c>
      <c r="J54" s="155" t="s">
        <v>154</v>
      </c>
    </row>
    <row r="55" spans="1:10" ht="15" x14ac:dyDescent="0.25">
      <c r="C55" s="152" t="s">
        <v>657</v>
      </c>
      <c r="D55" s="613" t="s">
        <v>190</v>
      </c>
      <c r="E55" s="614"/>
      <c r="F55" s="123">
        <v>90.94</v>
      </c>
      <c r="H55" s="154" t="s">
        <v>158</v>
      </c>
      <c r="J55" s="155" t="s">
        <v>154</v>
      </c>
    </row>
    <row r="56" spans="1:10" ht="15" x14ac:dyDescent="0.25">
      <c r="C56" s="152" t="s">
        <v>658</v>
      </c>
      <c r="D56" s="613" t="s">
        <v>191</v>
      </c>
      <c r="E56" s="614"/>
      <c r="F56" s="123">
        <v>0</v>
      </c>
      <c r="H56" s="154" t="s">
        <v>158</v>
      </c>
      <c r="J56" s="155" t="s">
        <v>154</v>
      </c>
    </row>
    <row r="57" spans="1:10" ht="15" x14ac:dyDescent="0.25">
      <c r="C57" s="152" t="s">
        <v>659</v>
      </c>
      <c r="D57" s="613" t="s">
        <v>192</v>
      </c>
      <c r="E57" s="614"/>
      <c r="F57" s="123">
        <v>0</v>
      </c>
      <c r="H57" s="154" t="s">
        <v>158</v>
      </c>
      <c r="J57" s="155" t="s">
        <v>154</v>
      </c>
    </row>
    <row r="58" spans="1:10" ht="15" x14ac:dyDescent="0.25">
      <c r="D58" s="151"/>
      <c r="E58" s="151"/>
      <c r="F58" s="146"/>
      <c r="H58" s="154"/>
      <c r="J58" s="155"/>
    </row>
    <row r="59" spans="1:10" x14ac:dyDescent="0.2">
      <c r="A59" s="144" t="s">
        <v>623</v>
      </c>
      <c r="B59" s="145" t="s">
        <v>143</v>
      </c>
      <c r="F59" s="146"/>
    </row>
    <row r="60" spans="1:10" s="167" customFormat="1" ht="29.25" customHeight="1" x14ac:dyDescent="0.2">
      <c r="A60" s="164"/>
      <c r="B60" s="165"/>
      <c r="C60" s="156" t="s">
        <v>660</v>
      </c>
      <c r="D60" s="611" t="s">
        <v>193</v>
      </c>
      <c r="E60" s="612"/>
      <c r="F60" s="181">
        <v>10</v>
      </c>
      <c r="G60" s="157"/>
      <c r="H60" s="158" t="s">
        <v>144</v>
      </c>
      <c r="I60" s="166"/>
      <c r="J60" s="168" t="s">
        <v>154</v>
      </c>
    </row>
    <row r="61" spans="1:10" ht="15" x14ac:dyDescent="0.25">
      <c r="C61" s="156" t="s">
        <v>661</v>
      </c>
      <c r="D61" s="613" t="s">
        <v>194</v>
      </c>
      <c r="E61" s="614"/>
      <c r="F61" s="181">
        <v>1222620</v>
      </c>
      <c r="H61" s="154" t="s">
        <v>20</v>
      </c>
      <c r="J61" s="168" t="s">
        <v>154</v>
      </c>
    </row>
    <row r="62" spans="1:10" ht="15" x14ac:dyDescent="0.25">
      <c r="C62" s="156" t="s">
        <v>662</v>
      </c>
      <c r="D62" s="151" t="s">
        <v>681</v>
      </c>
      <c r="F62" s="181">
        <v>25</v>
      </c>
      <c r="G62" s="157"/>
      <c r="H62" s="154" t="s">
        <v>144</v>
      </c>
      <c r="J62" s="168" t="s">
        <v>154</v>
      </c>
    </row>
    <row r="63" spans="1:10" ht="15" x14ac:dyDescent="0.2">
      <c r="C63" s="156" t="s">
        <v>783</v>
      </c>
      <c r="D63" s="145" t="s">
        <v>663</v>
      </c>
      <c r="F63" s="181">
        <v>2</v>
      </c>
      <c r="H63" s="145" t="s">
        <v>416</v>
      </c>
      <c r="J63" s="168" t="s">
        <v>154</v>
      </c>
    </row>
    <row r="64" spans="1:10" x14ac:dyDescent="0.2">
      <c r="F64" s="146"/>
    </row>
    <row r="65" spans="1:10" x14ac:dyDescent="0.2">
      <c r="A65" s="144" t="s">
        <v>624</v>
      </c>
      <c r="B65" s="613" t="s">
        <v>266</v>
      </c>
      <c r="C65" s="613"/>
      <c r="D65" s="613"/>
      <c r="E65" s="151"/>
      <c r="F65" s="146"/>
    </row>
    <row r="66" spans="1:10" ht="21.75" customHeight="1" x14ac:dyDescent="0.25">
      <c r="B66" s="151"/>
      <c r="C66" s="152" t="s">
        <v>664</v>
      </c>
      <c r="D66" s="151" t="s">
        <v>665</v>
      </c>
      <c r="E66" s="151"/>
      <c r="F66" s="123">
        <v>12.61</v>
      </c>
      <c r="H66" s="154" t="s">
        <v>70</v>
      </c>
      <c r="J66" s="155" t="s">
        <v>87</v>
      </c>
    </row>
    <row r="67" spans="1:10" ht="15" x14ac:dyDescent="0.25">
      <c r="B67" s="151"/>
      <c r="C67" s="152" t="s">
        <v>667</v>
      </c>
      <c r="D67" s="151" t="s">
        <v>666</v>
      </c>
      <c r="E67" s="151"/>
      <c r="F67" s="123">
        <v>5.3</v>
      </c>
      <c r="H67" s="154" t="s">
        <v>70</v>
      </c>
      <c r="J67" s="155" t="s">
        <v>87</v>
      </c>
    </row>
    <row r="68" spans="1:10" ht="15" x14ac:dyDescent="0.25">
      <c r="C68" s="152" t="s">
        <v>668</v>
      </c>
      <c r="D68" s="613" t="s">
        <v>266</v>
      </c>
      <c r="E68" s="614"/>
      <c r="F68" s="169">
        <f>F66-F67/2</f>
        <v>9.9599999999999991</v>
      </c>
      <c r="G68" s="153"/>
      <c r="H68" s="154" t="s">
        <v>70</v>
      </c>
      <c r="J68" s="155"/>
    </row>
    <row r="69" spans="1:10" x14ac:dyDescent="0.2">
      <c r="F69" s="146"/>
    </row>
    <row r="70" spans="1:10" x14ac:dyDescent="0.2">
      <c r="A70" s="144" t="s">
        <v>625</v>
      </c>
      <c r="B70" s="145" t="s">
        <v>147</v>
      </c>
      <c r="F70" s="146"/>
    </row>
    <row r="71" spans="1:10" ht="21" customHeight="1" x14ac:dyDescent="0.25">
      <c r="A71" s="164"/>
      <c r="B71" s="165"/>
      <c r="C71" s="156" t="s">
        <v>669</v>
      </c>
      <c r="D71" s="611" t="s">
        <v>195</v>
      </c>
      <c r="E71" s="612"/>
      <c r="F71" s="181">
        <v>1659507.85</v>
      </c>
      <c r="G71" s="157"/>
      <c r="H71" s="154" t="s">
        <v>20</v>
      </c>
      <c r="J71" s="168" t="s">
        <v>154</v>
      </c>
    </row>
    <row r="72" spans="1:10" ht="15" x14ac:dyDescent="0.25">
      <c r="C72" s="156" t="s">
        <v>670</v>
      </c>
      <c r="D72" s="613" t="s">
        <v>196</v>
      </c>
      <c r="E72" s="614"/>
      <c r="F72" s="123">
        <v>2062440.4</v>
      </c>
      <c r="H72" s="154" t="s">
        <v>20</v>
      </c>
      <c r="J72" s="168" t="s">
        <v>154</v>
      </c>
    </row>
    <row r="73" spans="1:10" ht="15" x14ac:dyDescent="0.25">
      <c r="A73" s="164"/>
      <c r="C73" s="156" t="s">
        <v>671</v>
      </c>
      <c r="D73" s="613" t="s">
        <v>250</v>
      </c>
      <c r="E73" s="614"/>
      <c r="F73" s="178">
        <v>25</v>
      </c>
      <c r="G73" s="157"/>
      <c r="H73" s="154" t="s">
        <v>144</v>
      </c>
      <c r="J73" s="159" t="s">
        <v>406</v>
      </c>
    </row>
    <row r="74" spans="1:10" ht="15" x14ac:dyDescent="0.25">
      <c r="A74" s="164"/>
      <c r="C74" s="156" t="s">
        <v>672</v>
      </c>
      <c r="D74" s="613" t="s">
        <v>405</v>
      </c>
      <c r="E74" s="614"/>
      <c r="F74" s="178">
        <v>10</v>
      </c>
      <c r="G74" s="157"/>
      <c r="H74" s="154" t="s">
        <v>70</v>
      </c>
      <c r="J74" s="159" t="s">
        <v>406</v>
      </c>
    </row>
    <row r="75" spans="1:10" ht="15" x14ac:dyDescent="0.25">
      <c r="C75" s="156" t="s">
        <v>673</v>
      </c>
      <c r="D75" s="613" t="s">
        <v>197</v>
      </c>
      <c r="E75" s="614"/>
      <c r="F75" s="123">
        <v>1024954.43</v>
      </c>
      <c r="H75" s="154" t="s">
        <v>20</v>
      </c>
      <c r="J75" s="168" t="s">
        <v>154</v>
      </c>
    </row>
    <row r="76" spans="1:10" ht="15" x14ac:dyDescent="0.25">
      <c r="C76" s="156" t="s">
        <v>674</v>
      </c>
      <c r="D76" s="613" t="s">
        <v>251</v>
      </c>
      <c r="E76" s="614"/>
      <c r="F76" s="178">
        <v>10</v>
      </c>
      <c r="G76" s="157"/>
      <c r="H76" s="154" t="s">
        <v>144</v>
      </c>
      <c r="J76" s="159" t="s">
        <v>406</v>
      </c>
    </row>
    <row r="77" spans="1:10" ht="15" x14ac:dyDescent="0.25">
      <c r="C77" s="156" t="s">
        <v>675</v>
      </c>
      <c r="D77" s="613" t="s">
        <v>782</v>
      </c>
      <c r="E77" s="614"/>
      <c r="F77" s="178">
        <v>0</v>
      </c>
      <c r="G77" s="157"/>
      <c r="H77" s="154" t="s">
        <v>70</v>
      </c>
      <c r="J77" s="159" t="s">
        <v>406</v>
      </c>
    </row>
    <row r="78" spans="1:10" ht="15" x14ac:dyDescent="0.25">
      <c r="C78" s="156" t="s">
        <v>676</v>
      </c>
      <c r="D78" s="170" t="s">
        <v>779</v>
      </c>
      <c r="E78" s="171"/>
      <c r="F78" s="181">
        <v>0</v>
      </c>
      <c r="G78" s="157"/>
      <c r="H78" s="154" t="s">
        <v>20</v>
      </c>
      <c r="J78" s="168" t="s">
        <v>154</v>
      </c>
    </row>
    <row r="79" spans="1:10" ht="15" x14ac:dyDescent="0.25">
      <c r="C79" s="156" t="s">
        <v>677</v>
      </c>
      <c r="D79" s="170" t="s">
        <v>679</v>
      </c>
      <c r="E79" s="171"/>
      <c r="F79" s="178">
        <v>5</v>
      </c>
      <c r="G79" s="157"/>
      <c r="H79" s="154" t="s">
        <v>144</v>
      </c>
      <c r="J79" s="159" t="s">
        <v>406</v>
      </c>
    </row>
    <row r="80" spans="1:10" ht="15" x14ac:dyDescent="0.25">
      <c r="C80" s="156" t="s">
        <v>678</v>
      </c>
      <c r="D80" s="170" t="s">
        <v>680</v>
      </c>
      <c r="E80" s="171"/>
      <c r="F80" s="178">
        <v>0</v>
      </c>
      <c r="G80" s="157"/>
      <c r="H80" s="154" t="s">
        <v>70</v>
      </c>
      <c r="J80" s="159" t="s">
        <v>406</v>
      </c>
    </row>
    <row r="82" spans="1:10" x14ac:dyDescent="0.2">
      <c r="A82" s="144" t="s">
        <v>626</v>
      </c>
      <c r="B82" s="145" t="s">
        <v>160</v>
      </c>
      <c r="F82" s="146"/>
    </row>
    <row r="83" spans="1:10" s="167" customFormat="1" ht="50.25" customHeight="1" x14ac:dyDescent="0.2">
      <c r="A83" s="164"/>
      <c r="B83" s="165"/>
      <c r="C83" s="156" t="s">
        <v>683</v>
      </c>
      <c r="D83" s="611" t="s">
        <v>202</v>
      </c>
      <c r="E83" s="612"/>
      <c r="F83" s="182">
        <v>436.5</v>
      </c>
      <c r="G83" s="157"/>
      <c r="H83" s="158" t="s">
        <v>159</v>
      </c>
      <c r="I83" s="166"/>
      <c r="J83" s="168" t="s">
        <v>154</v>
      </c>
    </row>
    <row r="84" spans="1:10" s="167" customFormat="1" ht="26.25" customHeight="1" x14ac:dyDescent="0.2">
      <c r="A84" s="164"/>
      <c r="B84" s="165"/>
      <c r="C84" s="156" t="s">
        <v>684</v>
      </c>
      <c r="D84" s="611" t="s">
        <v>198</v>
      </c>
      <c r="E84" s="612"/>
      <c r="F84" s="182">
        <v>0</v>
      </c>
      <c r="G84" s="157"/>
      <c r="H84" s="158" t="s">
        <v>161</v>
      </c>
      <c r="I84" s="166"/>
      <c r="J84" s="168" t="s">
        <v>154</v>
      </c>
    </row>
    <row r="85" spans="1:10" s="167" customFormat="1" ht="24.75" customHeight="1" x14ac:dyDescent="0.2">
      <c r="A85" s="164"/>
      <c r="B85" s="165"/>
      <c r="C85" s="156" t="s">
        <v>685</v>
      </c>
      <c r="D85" s="611" t="s">
        <v>199</v>
      </c>
      <c r="E85" s="612"/>
      <c r="F85" s="181">
        <v>10296.93</v>
      </c>
      <c r="G85" s="157"/>
      <c r="H85" s="158" t="s">
        <v>158</v>
      </c>
      <c r="I85" s="166"/>
      <c r="J85" s="168" t="s">
        <v>154</v>
      </c>
    </row>
    <row r="86" spans="1:10" s="167" customFormat="1" ht="24.75" customHeight="1" x14ac:dyDescent="0.2">
      <c r="A86" s="164"/>
      <c r="B86" s="165"/>
      <c r="C86" s="156" t="s">
        <v>686</v>
      </c>
      <c r="D86" s="611" t="s">
        <v>200</v>
      </c>
      <c r="E86" s="612"/>
      <c r="F86" s="181">
        <v>42</v>
      </c>
      <c r="G86" s="157"/>
      <c r="H86" s="158" t="s">
        <v>162</v>
      </c>
      <c r="I86" s="166"/>
      <c r="J86" s="168" t="s">
        <v>154</v>
      </c>
    </row>
    <row r="87" spans="1:10" s="167" customFormat="1" ht="24.75" customHeight="1" x14ac:dyDescent="0.2">
      <c r="A87" s="164"/>
      <c r="B87" s="165"/>
      <c r="C87" s="156" t="s">
        <v>687</v>
      </c>
      <c r="D87" s="611" t="s">
        <v>201</v>
      </c>
      <c r="E87" s="612"/>
      <c r="F87" s="181">
        <v>0</v>
      </c>
      <c r="G87" s="157"/>
      <c r="H87" s="158" t="s">
        <v>159</v>
      </c>
      <c r="I87" s="166"/>
      <c r="J87" s="168" t="s">
        <v>154</v>
      </c>
    </row>
    <row r="88" spans="1:10" ht="15" x14ac:dyDescent="0.25">
      <c r="C88" s="156" t="s">
        <v>784</v>
      </c>
      <c r="D88" s="145" t="s">
        <v>682</v>
      </c>
      <c r="F88" s="181">
        <v>0</v>
      </c>
      <c r="G88" s="157"/>
      <c r="H88" s="154" t="s">
        <v>159</v>
      </c>
      <c r="J88" s="168" t="s">
        <v>154</v>
      </c>
    </row>
    <row r="89" spans="1:10" ht="15" x14ac:dyDescent="0.25">
      <c r="C89" s="156"/>
      <c r="F89" s="154"/>
      <c r="G89" s="154"/>
      <c r="H89" s="154"/>
      <c r="J89" s="168"/>
    </row>
    <row r="90" spans="1:10" x14ac:dyDescent="0.2">
      <c r="A90" s="144" t="s">
        <v>627</v>
      </c>
      <c r="B90" s="145" t="s">
        <v>382</v>
      </c>
      <c r="F90" s="146"/>
    </row>
    <row r="91" spans="1:10" s="167" customFormat="1" ht="28.5" customHeight="1" x14ac:dyDescent="0.2">
      <c r="A91" s="164"/>
      <c r="B91" s="165"/>
      <c r="C91" s="165" t="s">
        <v>688</v>
      </c>
      <c r="D91" s="611" t="s">
        <v>383</v>
      </c>
      <c r="E91" s="612"/>
      <c r="F91" s="172">
        <f>IF('A.XV. RPS (Simplificado)'!D4="x",('A.XV. RPS (DetalhadoII)'!C27)*100,IF('A.XV. RPS (Simplificado)'!D4="X",('A.XV. RPS (DetalhadoII)'!C27)*100,('A.XV. RPS (Simplificado)'!C40)*100))</f>
        <v>7.31</v>
      </c>
      <c r="G91" s="157"/>
      <c r="H91" s="158" t="s">
        <v>70</v>
      </c>
      <c r="I91" s="166"/>
      <c r="J91" s="159" t="s">
        <v>381</v>
      </c>
    </row>
    <row r="93" spans="1:10" ht="15" x14ac:dyDescent="0.25">
      <c r="A93" s="144" t="s">
        <v>628</v>
      </c>
      <c r="B93" s="145" t="s">
        <v>460</v>
      </c>
      <c r="F93" s="169">
        <f>'A.XVI. Despesas Gerais'!C49</f>
        <v>445200</v>
      </c>
      <c r="H93" s="154" t="s">
        <v>158</v>
      </c>
      <c r="J93" s="159" t="s">
        <v>459</v>
      </c>
    </row>
    <row r="95" spans="1:10" x14ac:dyDescent="0.2">
      <c r="A95" s="144" t="s">
        <v>629</v>
      </c>
      <c r="B95" s="145" t="s">
        <v>787</v>
      </c>
      <c r="F95" s="146"/>
    </row>
    <row r="96" spans="1:10" s="167" customFormat="1" ht="23.25" customHeight="1" x14ac:dyDescent="0.2">
      <c r="A96" s="164"/>
      <c r="B96" s="165"/>
      <c r="C96" s="156" t="s">
        <v>689</v>
      </c>
      <c r="D96" s="611" t="s">
        <v>206</v>
      </c>
      <c r="E96" s="612"/>
      <c r="F96" s="183">
        <v>3</v>
      </c>
      <c r="G96" s="157"/>
      <c r="H96" s="158" t="s">
        <v>70</v>
      </c>
      <c r="I96" s="166"/>
      <c r="J96" s="168" t="s">
        <v>154</v>
      </c>
    </row>
    <row r="97" spans="1:10" s="167" customFormat="1" ht="15" x14ac:dyDescent="0.2">
      <c r="A97" s="164"/>
      <c r="B97" s="165"/>
      <c r="C97" s="156" t="s">
        <v>690</v>
      </c>
      <c r="D97" s="611" t="s">
        <v>207</v>
      </c>
      <c r="E97" s="612"/>
      <c r="F97" s="183">
        <v>0</v>
      </c>
      <c r="G97" s="157"/>
      <c r="H97" s="158" t="s">
        <v>70</v>
      </c>
      <c r="I97" s="166"/>
      <c r="J97" s="168" t="s">
        <v>154</v>
      </c>
    </row>
    <row r="98" spans="1:10" s="167" customFormat="1" ht="24.75" customHeight="1" x14ac:dyDescent="0.2">
      <c r="A98" s="164"/>
      <c r="B98" s="165"/>
      <c r="C98" s="156" t="s">
        <v>691</v>
      </c>
      <c r="D98" s="611" t="s">
        <v>209</v>
      </c>
      <c r="E98" s="612"/>
      <c r="F98" s="183">
        <v>0</v>
      </c>
      <c r="G98" s="157"/>
      <c r="H98" s="158" t="s">
        <v>70</v>
      </c>
      <c r="I98" s="166"/>
      <c r="J98" s="168" t="s">
        <v>154</v>
      </c>
    </row>
    <row r="99" spans="1:10" s="167" customFormat="1" ht="24.75" customHeight="1" x14ac:dyDescent="0.2">
      <c r="A99" s="164"/>
      <c r="B99" s="165"/>
      <c r="C99" s="156" t="s">
        <v>692</v>
      </c>
      <c r="D99" s="611" t="s">
        <v>208</v>
      </c>
      <c r="E99" s="612"/>
      <c r="F99" s="183">
        <v>0.85</v>
      </c>
      <c r="G99" s="157"/>
      <c r="H99" s="158" t="s">
        <v>70</v>
      </c>
      <c r="I99" s="166"/>
      <c r="J99" s="168" t="s">
        <v>154</v>
      </c>
    </row>
    <row r="100" spans="1:10" s="167" customFormat="1" ht="15" x14ac:dyDescent="0.2">
      <c r="A100" s="164"/>
      <c r="B100" s="165"/>
      <c r="C100" s="156" t="s">
        <v>693</v>
      </c>
      <c r="D100" s="611" t="s">
        <v>210</v>
      </c>
      <c r="E100" s="612"/>
      <c r="F100" s="183">
        <v>2</v>
      </c>
      <c r="G100" s="157"/>
      <c r="H100" s="158" t="s">
        <v>70</v>
      </c>
      <c r="I100" s="166"/>
      <c r="J100" s="168" t="s">
        <v>154</v>
      </c>
    </row>
    <row r="101" spans="1:10" s="167" customFormat="1" ht="15" x14ac:dyDescent="0.2">
      <c r="A101" s="164"/>
      <c r="B101" s="165"/>
      <c r="C101" s="156" t="s">
        <v>694</v>
      </c>
      <c r="D101" s="611" t="s">
        <v>211</v>
      </c>
      <c r="E101" s="612"/>
      <c r="F101" s="183">
        <v>0</v>
      </c>
      <c r="G101" s="157"/>
      <c r="H101" s="158" t="s">
        <v>70</v>
      </c>
      <c r="I101" s="166"/>
      <c r="J101" s="168" t="s">
        <v>154</v>
      </c>
    </row>
    <row r="102" spans="1:10" s="167" customFormat="1" ht="15" x14ac:dyDescent="0.2">
      <c r="A102" s="164"/>
      <c r="B102" s="165"/>
      <c r="C102" s="156" t="s">
        <v>695</v>
      </c>
      <c r="D102" s="611" t="s">
        <v>212</v>
      </c>
      <c r="E102" s="612"/>
      <c r="F102" s="183">
        <v>0</v>
      </c>
      <c r="G102" s="157"/>
      <c r="H102" s="158" t="s">
        <v>70</v>
      </c>
      <c r="I102" s="166"/>
      <c r="J102" s="168" t="s">
        <v>154</v>
      </c>
    </row>
    <row r="103" spans="1:10" x14ac:dyDescent="0.2">
      <c r="F103" s="184"/>
    </row>
    <row r="104" spans="1:10" ht="15" x14ac:dyDescent="0.2">
      <c r="A104" s="144" t="s">
        <v>629</v>
      </c>
      <c r="B104" s="145" t="s">
        <v>772</v>
      </c>
      <c r="F104" s="185"/>
    </row>
    <row r="105" spans="1:10" ht="15" x14ac:dyDescent="0.2">
      <c r="C105" s="156" t="s">
        <v>689</v>
      </c>
      <c r="D105" s="616" t="s">
        <v>773</v>
      </c>
      <c r="E105" s="617"/>
      <c r="F105" s="186">
        <v>0</v>
      </c>
      <c r="G105" s="157"/>
      <c r="H105" s="158" t="s">
        <v>159</v>
      </c>
      <c r="I105" s="166"/>
      <c r="J105" s="168" t="s">
        <v>154</v>
      </c>
    </row>
  </sheetData>
  <sheetProtection password="E299" sheet="1"/>
  <mergeCells count="59">
    <mergeCell ref="B3:J3"/>
    <mergeCell ref="D55:E55"/>
    <mergeCell ref="D101:E101"/>
    <mergeCell ref="D60:E60"/>
    <mergeCell ref="D61:E61"/>
    <mergeCell ref="D87:E87"/>
    <mergeCell ref="D76:E76"/>
    <mergeCell ref="D73:E73"/>
    <mergeCell ref="C22:C24"/>
    <mergeCell ref="D46:E46"/>
    <mergeCell ref="D22:D24"/>
    <mergeCell ref="B8:D8"/>
    <mergeCell ref="B11:D11"/>
    <mergeCell ref="D12:E12"/>
    <mergeCell ref="D9:E9"/>
    <mergeCell ref="D19:D21"/>
    <mergeCell ref="D105:E105"/>
    <mergeCell ref="D37:E37"/>
    <mergeCell ref="D41:E41"/>
    <mergeCell ref="D102:E102"/>
    <mergeCell ref="D91:E91"/>
    <mergeCell ref="D96:E96"/>
    <mergeCell ref="D97:E97"/>
    <mergeCell ref="D98:E98"/>
    <mergeCell ref="D51:E51"/>
    <mergeCell ref="D100:E100"/>
    <mergeCell ref="D99:E99"/>
    <mergeCell ref="D74:E74"/>
    <mergeCell ref="D77:E77"/>
    <mergeCell ref="D50:E50"/>
    <mergeCell ref="D56:E56"/>
    <mergeCell ref="D57:E57"/>
    <mergeCell ref="C19:C21"/>
    <mergeCell ref="D86:E86"/>
    <mergeCell ref="D68:E68"/>
    <mergeCell ref="D71:E71"/>
    <mergeCell ref="D72:E72"/>
    <mergeCell ref="D75:E75"/>
    <mergeCell ref="D84:E84"/>
    <mergeCell ref="D85:E85"/>
    <mergeCell ref="D34:E34"/>
    <mergeCell ref="D35:E35"/>
    <mergeCell ref="D36:E36"/>
    <mergeCell ref="D42:E42"/>
    <mergeCell ref="B65:D65"/>
    <mergeCell ref="D38:E38"/>
    <mergeCell ref="D39:E39"/>
    <mergeCell ref="D40:E40"/>
    <mergeCell ref="L10:O10"/>
    <mergeCell ref="D83:E83"/>
    <mergeCell ref="D16:E16"/>
    <mergeCell ref="D15:E15"/>
    <mergeCell ref="D28:E28"/>
    <mergeCell ref="D31:E31"/>
    <mergeCell ref="D54:E54"/>
    <mergeCell ref="D43:E43"/>
    <mergeCell ref="D44:E44"/>
    <mergeCell ref="D47:E47"/>
    <mergeCell ref="D48:E48"/>
  </mergeCells>
  <pageMargins left="0.19685039370078741" right="0.19685039370078741" top="0.78740157480314965" bottom="0.78740157480314965" header="0.31496062992125984" footer="0.31496062992125984"/>
  <pageSetup paperSize="9" scale="70" orientation="landscape"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9">
    <tabColor theme="4" tint="0.39997558519241921"/>
  </sheetPr>
  <dimension ref="A1:K40"/>
  <sheetViews>
    <sheetView showGridLines="0" workbookViewId="0">
      <selection activeCell="I19" sqref="I19"/>
    </sheetView>
  </sheetViews>
  <sheetFormatPr defaultColWidth="11.42578125" defaultRowHeight="12.75" x14ac:dyDescent="0.2"/>
  <cols>
    <col min="1" max="1" width="5.28515625" style="191" bestFit="1" customWidth="1"/>
    <col min="2" max="2" width="6.28515625" style="192" bestFit="1" customWidth="1"/>
    <col min="3" max="3" width="24.28515625" style="192" bestFit="1" customWidth="1"/>
    <col min="4" max="4" width="4.140625" style="193" customWidth="1"/>
    <col min="5" max="5" width="17.5703125" style="139" customWidth="1"/>
    <col min="6" max="6" width="14.5703125" style="139" bestFit="1" customWidth="1"/>
    <col min="7" max="7" width="11.42578125" style="139" customWidth="1"/>
    <col min="8" max="8" width="1.28515625" style="139" customWidth="1"/>
    <col min="9" max="9" width="11.42578125" style="139" customWidth="1"/>
    <col min="10" max="10" width="38.7109375" style="139" bestFit="1" customWidth="1"/>
    <col min="11" max="11" width="1" style="139" customWidth="1"/>
    <col min="12" max="16384" width="11.42578125" style="139"/>
  </cols>
  <sheetData>
    <row r="1" spans="1:11" s="187" customFormat="1" x14ac:dyDescent="0.2">
      <c r="A1" s="187" t="s">
        <v>576</v>
      </c>
      <c r="B1" s="187" t="s">
        <v>203</v>
      </c>
      <c r="D1" s="188" t="s">
        <v>20</v>
      </c>
      <c r="E1" s="189">
        <f>SUM(E3:E8)</f>
        <v>790808.11437900865</v>
      </c>
      <c r="F1" s="190"/>
    </row>
    <row r="2" spans="1:11" ht="13.5" thickBot="1" x14ac:dyDescent="0.25"/>
    <row r="3" spans="1:11" ht="15.75" thickBot="1" x14ac:dyDescent="0.25">
      <c r="B3" s="192" t="s">
        <v>577</v>
      </c>
      <c r="C3" s="192" t="s">
        <v>77</v>
      </c>
      <c r="D3" s="194" t="s">
        <v>20</v>
      </c>
      <c r="E3" s="195">
        <f>'2.1.c Insumos'!F9*'2.1.a Combustível'!C73</f>
        <v>484078.47494400007</v>
      </c>
      <c r="F3" s="196"/>
      <c r="G3" s="196"/>
      <c r="H3" s="537" t="s">
        <v>84</v>
      </c>
      <c r="I3" s="538"/>
      <c r="J3" s="538"/>
      <c r="K3" s="539"/>
    </row>
    <row r="4" spans="1:11" ht="15" x14ac:dyDescent="0.25">
      <c r="B4" s="192" t="s">
        <v>578</v>
      </c>
      <c r="C4" s="192" t="s">
        <v>51</v>
      </c>
      <c r="D4" s="194" t="s">
        <v>20</v>
      </c>
      <c r="E4" s="195">
        <f>'2.1.c Insumos'!F9*'2.1.c Insumos'!F12*'1.4 Indicadores'!E9</f>
        <v>34621.966079999991</v>
      </c>
      <c r="F4" s="196"/>
      <c r="G4" s="196"/>
      <c r="H4" s="62"/>
      <c r="I4" s="63"/>
      <c r="J4" s="63"/>
      <c r="K4" s="64"/>
    </row>
    <row r="5" spans="1:11" ht="15" x14ac:dyDescent="0.25">
      <c r="B5" s="192" t="s">
        <v>579</v>
      </c>
      <c r="C5" s="192" t="s">
        <v>78</v>
      </c>
      <c r="D5" s="194" t="s">
        <v>20</v>
      </c>
      <c r="E5" s="195">
        <f>'2.1.c Insumos'!F15*'2.1.c Insumos'!F16*'2.1.a Combustível'!C73</f>
        <v>13446.624304000003</v>
      </c>
      <c r="F5" s="196"/>
      <c r="G5" s="196"/>
      <c r="H5" s="65"/>
      <c r="I5" s="66"/>
      <c r="J5" s="67" t="s">
        <v>82</v>
      </c>
      <c r="K5" s="68"/>
    </row>
    <row r="6" spans="1:11" ht="15" x14ac:dyDescent="0.25">
      <c r="B6" s="192" t="s">
        <v>580</v>
      </c>
      <c r="C6" s="192" t="s">
        <v>79</v>
      </c>
      <c r="D6" s="194" t="s">
        <v>20</v>
      </c>
      <c r="E6" s="195">
        <f>('1.4 Indicadores'!E9/'1.4 Indicadores'!E16)*SUM('A.VI. Rodagem'!E54:F60)</f>
        <v>43691.049051008573</v>
      </c>
      <c r="F6" s="196"/>
      <c r="G6" s="196"/>
      <c r="H6" s="65"/>
      <c r="I6" s="71"/>
      <c r="J6" s="67" t="s">
        <v>94</v>
      </c>
      <c r="K6" s="68"/>
    </row>
    <row r="7" spans="1:11" ht="15" x14ac:dyDescent="0.25">
      <c r="B7" s="192" t="s">
        <v>581</v>
      </c>
      <c r="C7" s="192" t="s">
        <v>80</v>
      </c>
      <c r="D7" s="194" t="s">
        <v>20</v>
      </c>
      <c r="E7" s="525">
        <f>'1.3 Frota Total'!R113</f>
        <v>185920</v>
      </c>
      <c r="F7" s="196"/>
      <c r="G7" s="196"/>
      <c r="H7" s="65"/>
      <c r="I7" s="72"/>
      <c r="J7" s="67" t="s">
        <v>83</v>
      </c>
      <c r="K7" s="68"/>
    </row>
    <row r="8" spans="1:11" ht="15.75" thickBot="1" x14ac:dyDescent="0.3">
      <c r="B8" s="192" t="s">
        <v>582</v>
      </c>
      <c r="C8" s="192" t="s">
        <v>72</v>
      </c>
      <c r="D8" s="194" t="s">
        <v>20</v>
      </c>
      <c r="E8" s="195">
        <f>'2.1.c Insumos'!F28*'2.1.b Veículos'!D58*'1.4 Indicadores'!E16/12</f>
        <v>29050</v>
      </c>
      <c r="F8" s="196"/>
      <c r="G8" s="196"/>
      <c r="H8" s="73"/>
      <c r="I8" s="74"/>
      <c r="J8" s="74"/>
      <c r="K8" s="75"/>
    </row>
    <row r="12" spans="1:11" x14ac:dyDescent="0.2">
      <c r="F12" s="197"/>
    </row>
    <row r="18" spans="9:9" x14ac:dyDescent="0.2">
      <c r="I18" s="198"/>
    </row>
    <row r="19" spans="9:9" x14ac:dyDescent="0.2">
      <c r="I19" s="198"/>
    </row>
    <row r="20" spans="9:9" x14ac:dyDescent="0.2">
      <c r="I20" s="199"/>
    </row>
    <row r="21" spans="9:9" x14ac:dyDescent="0.2">
      <c r="I21" s="199"/>
    </row>
    <row r="40" spans="10:10" ht="15" x14ac:dyDescent="0.25">
      <c r="J40" s="59"/>
    </row>
  </sheetData>
  <sheetProtection sheet="1" objects="1" scenarios="1"/>
  <mergeCells count="1">
    <mergeCell ref="H3:K3"/>
  </mergeCells>
  <pageMargins left="0.511811024" right="0.511811024" top="0.78740157499999996" bottom="0.78740157499999996" header="0.31496062000000002" footer="0.31496062000000002"/>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6459FC0FEAECB4CBCE30E560092A1BC" ma:contentTypeVersion="2" ma:contentTypeDescription="Crie um novo documento." ma:contentTypeScope="" ma:versionID="87420618cb02d46251063039eec75ce1">
  <xsd:schema xmlns:xsd="http://www.w3.org/2001/XMLSchema" xmlns:xs="http://www.w3.org/2001/XMLSchema" xmlns:p="http://schemas.microsoft.com/office/2006/metadata/properties" xmlns:ns2="ca6e2c40-da12-477e-bbe4-cf4bf2cc077f" targetNamespace="http://schemas.microsoft.com/office/2006/metadata/properties" ma:root="true" ma:fieldsID="7ea7f09cc84c4a9ef991e4d85c9d6fe9" ns2:_="">
    <xsd:import namespace="ca6e2c40-da12-477e-bbe4-cf4bf2cc077f"/>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6e2c40-da12-477e-bbe4-cf4bf2cc07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E0A6773-0757-407D-A3C0-219DA12ED0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6e2c40-da12-477e-bbe4-cf4bf2cc07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B57A590-B525-4F7E-9BC0-A4E4A34BE8A6}">
  <ds:schemaRefs>
    <ds:schemaRef ds:uri="ca6e2c40-da12-477e-bbe4-cf4bf2cc077f"/>
    <ds:schemaRef ds:uri="http://schemas.microsoft.com/office/2006/metadata/properties"/>
    <ds:schemaRef ds:uri="http://purl.org/dc/elements/1.1/"/>
    <ds:schemaRef ds:uri="http://schemas.microsoft.com/office/2006/documentManagement/types"/>
    <ds:schemaRef ds:uri="http://purl.org/dc/dcmitype/"/>
    <ds:schemaRef ds:uri="http://purl.org/dc/terms/"/>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2A158097-14F8-4CB8-B383-6A3184EFC9B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37</vt:i4>
      </vt:variant>
    </vt:vector>
  </HeadingPairs>
  <TitlesOfParts>
    <vt:vector size="37" baseType="lpstr">
      <vt:lpstr>0.Instruções</vt:lpstr>
      <vt:lpstr>1.1. Passageiros</vt:lpstr>
      <vt:lpstr>1.2. KM programada</vt:lpstr>
      <vt:lpstr>1.3 Frota Total</vt:lpstr>
      <vt:lpstr>1.4 Indicadores</vt:lpstr>
      <vt:lpstr>2.1.a Combustível</vt:lpstr>
      <vt:lpstr>2.1.b Veículos</vt:lpstr>
      <vt:lpstr>2.1.c Insumos</vt:lpstr>
      <vt:lpstr>2.1. Custo Variável</vt:lpstr>
      <vt:lpstr>2.2 Custo Fixo</vt:lpstr>
      <vt:lpstr>2.3 RPS</vt:lpstr>
      <vt:lpstr>4. Custo Total</vt:lpstr>
      <vt:lpstr>4.1. Custo Pass. Transp.</vt:lpstr>
      <vt:lpstr>4.2. Tarifa Pública</vt:lpstr>
      <vt:lpstr>5. Composição CT</vt:lpstr>
      <vt:lpstr>A.III. Combustível</vt:lpstr>
      <vt:lpstr>A.IV. Lub.</vt:lpstr>
      <vt:lpstr>A.V. Arla32</vt:lpstr>
      <vt:lpstr>A.VI. Rodagem</vt:lpstr>
      <vt:lpstr>A.VII. Peças e acessórios </vt:lpstr>
      <vt:lpstr>A.VIII. Custos ambientais</vt:lpstr>
      <vt:lpstr>A.IX.a. Deprec. veículos</vt:lpstr>
      <vt:lpstr>A.IX.b. Deprec. garagem equip. </vt:lpstr>
      <vt:lpstr>A.X.a. Remun. veículos </vt:lpstr>
      <vt:lpstr>A.X.b.  Remun. garagem equip.</vt:lpstr>
      <vt:lpstr>A.X.c. Remun. Eq. Bilhet. ITS</vt:lpstr>
      <vt:lpstr>A.X.d. Remun. Vec. Apoio</vt:lpstr>
      <vt:lpstr>A.X. Remun. Infra</vt:lpstr>
      <vt:lpstr>A.X.e. Remun. Infraes</vt:lpstr>
      <vt:lpstr>A.XII. FU</vt:lpstr>
      <vt:lpstr>A.XIII. DMA</vt:lpstr>
      <vt:lpstr>A.XV. RPS (Simplificado)</vt:lpstr>
      <vt:lpstr>A.XV. RPS (DetalhadoI)</vt:lpstr>
      <vt:lpstr>A.XV. RPS (DetalhadoII)</vt:lpstr>
      <vt:lpstr>A.XV. RPS (Base Num)</vt:lpstr>
      <vt:lpstr>A.XVI. Despesas Gerais</vt:lpstr>
      <vt:lpstr>Despesas Gerais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LEANDRO KEHL</dc:creator>
  <cp:lastModifiedBy>LEANDRO KEHL</cp:lastModifiedBy>
  <cp:lastPrinted>2024-01-04T17:52:37Z</cp:lastPrinted>
  <dcterms:created xsi:type="dcterms:W3CDTF">1997-01-10T22:22:50Z</dcterms:created>
  <dcterms:modified xsi:type="dcterms:W3CDTF">2024-01-05T14:49:19Z</dcterms:modified>
</cp:coreProperties>
</file>