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O:\Setores\Gestor\Toledo SPE\Arquivos IBETA\2026\02- Fevereiro 26\Oficio - Nota Técnica\Pagamento Retroativo\"/>
    </mc:Choice>
  </mc:AlternateContent>
  <xr:revisionPtr revIDLastSave="0" documentId="8_{21B158F8-DDF4-4656-BA0F-C40B2C6E4EFA}" xr6:coauthVersionLast="47" xr6:coauthVersionMax="47" xr10:uidLastSave="{00000000-0000-0000-0000-000000000000}"/>
  <bookViews>
    <workbookView xWindow="-108" yWindow="-108" windowWidth="23256" windowHeight="12576" activeTab="1" xr2:uid="{C73FA644-D951-428A-B4DC-0D99AB4ECB68}"/>
  </bookViews>
  <sheets>
    <sheet name="Tarifa_Técnica - PLANUM" sheetId="1" r:id="rId1"/>
    <sheet name="Comparação IBETA x PLANUM" sheetId="27" r:id="rId2"/>
    <sheet name="Tabelas_Dados_Op" sheetId="2" r:id="rId3"/>
    <sheet name="Tabelas_Coeficientes" sheetId="3" r:id="rId4"/>
    <sheet name="Tabelas_Prc_Insumos" sheetId="4" r:id="rId5"/>
    <sheet name="Resumo_Frota" sheetId="7" r:id="rId6"/>
    <sheet name="Peças e Acessórios" sheetId="8" r:id="rId7"/>
    <sheet name="Planilha1" sheetId="28" r:id="rId8"/>
    <sheet name="Dep. e Rem. Frota" sheetId="9" r:id="rId9"/>
  </sheets>
  <externalReferences>
    <externalReference r:id="rId10"/>
    <externalReference r:id="rId11"/>
  </externalReferences>
  <definedNames>
    <definedName name="_xlchart.v1.0" hidden="1">'Tarifa_Técnica - PLANUM'!$C$328:$C$335</definedName>
    <definedName name="_xlchart.v1.1" hidden="1">'Tarifa_Técnica - PLANUM'!$E$328:$E$335</definedName>
    <definedName name="_xlnm.Print_Area" localSheetId="2">Tabelas_Dados_Op!$A$1:$I$10</definedName>
    <definedName name="solver_adj" localSheetId="0" hidden="1">'Tarifa_Técnica - PLANUM'!$E$32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'Tarifa_Técnica - PLANUM'!$E$32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'Tarifa_Técnica - PLANUM'!$E$34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10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23400</definedName>
    <definedName name="solver_ver" localSheetId="0" hidden="1">3</definedName>
    <definedName name="Tipo_Veic">[1]CustoKm!$C$2:$C$7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3" i="27" l="1"/>
  <c r="AZ32" i="27"/>
  <c r="AZ30" i="27"/>
  <c r="AZ29" i="27"/>
  <c r="AZ28" i="27"/>
  <c r="AZ27" i="27"/>
  <c r="AZ26" i="27"/>
  <c r="AZ25" i="27"/>
  <c r="AZ24" i="27"/>
  <c r="AZ23" i="27"/>
  <c r="AZ22" i="27"/>
  <c r="AZ21" i="27"/>
  <c r="AZ20" i="27"/>
  <c r="AZ19" i="27"/>
  <c r="AZ18" i="27"/>
  <c r="AZ17" i="27"/>
  <c r="AZ16" i="27"/>
  <c r="AZ15" i="27"/>
  <c r="AZ14" i="27"/>
  <c r="AZ13" i="27"/>
  <c r="AZ12" i="27"/>
  <c r="AZ11" i="27"/>
  <c r="AZ10" i="27"/>
  <c r="AZ9" i="27"/>
  <c r="AZ8" i="27"/>
  <c r="AZ7" i="27"/>
  <c r="AZ6" i="27"/>
  <c r="AZ5" i="27"/>
  <c r="AZ4" i="27"/>
  <c r="AZ3" i="27"/>
  <c r="K4" i="2" l="1"/>
  <c r="L4" i="2"/>
  <c r="K6" i="2"/>
  <c r="C5" i="2"/>
  <c r="D5" i="2"/>
  <c r="E5" i="2"/>
  <c r="F5" i="2"/>
  <c r="G5" i="2"/>
  <c r="B5" i="2"/>
  <c r="D17" i="4"/>
  <c r="D16" i="4"/>
  <c r="D15" i="4"/>
  <c r="E39" i="1"/>
  <c r="E7" i="4"/>
  <c r="G8" i="4"/>
  <c r="H8" i="4" s="1"/>
  <c r="I8" i="4" s="1"/>
  <c r="B4" i="2" l="1"/>
  <c r="C4" i="2"/>
  <c r="D4" i="2"/>
  <c r="E4" i="2"/>
  <c r="F4" i="2"/>
  <c r="G4" i="2"/>
  <c r="I4" i="2"/>
  <c r="H5" i="2"/>
  <c r="D253" i="1"/>
  <c r="P9" i="27" l="1"/>
  <c r="P7" i="27"/>
  <c r="P6" i="27"/>
  <c r="AI42" i="27" l="1"/>
  <c r="H11" i="27"/>
  <c r="AX32" i="27" s="1"/>
  <c r="AI34" i="27" l="1"/>
  <c r="N198" i="1" l="1"/>
  <c r="I8" i="2"/>
  <c r="E9" i="27"/>
  <c r="V68" i="9"/>
  <c r="U68" i="9"/>
  <c r="T68" i="9"/>
  <c r="S68" i="9"/>
  <c r="R68" i="9"/>
  <c r="Q68" i="9"/>
  <c r="P68" i="9"/>
  <c r="L68" i="9"/>
  <c r="K68" i="9"/>
  <c r="J68" i="9"/>
  <c r="I68" i="9"/>
  <c r="H68" i="9"/>
  <c r="G68" i="9"/>
  <c r="F68" i="9"/>
  <c r="V48" i="9"/>
  <c r="U48" i="9"/>
  <c r="T48" i="9"/>
  <c r="S48" i="9"/>
  <c r="R48" i="9"/>
  <c r="Q48" i="9"/>
  <c r="P48" i="9"/>
  <c r="L48" i="9"/>
  <c r="K48" i="9"/>
  <c r="J48" i="9"/>
  <c r="I48" i="9"/>
  <c r="H48" i="9"/>
  <c r="G48" i="9"/>
  <c r="F48" i="9"/>
  <c r="V44" i="9"/>
  <c r="L44" i="9"/>
  <c r="V43" i="9"/>
  <c r="U43" i="9"/>
  <c r="T43" i="9"/>
  <c r="S43" i="9"/>
  <c r="R43" i="9"/>
  <c r="Q43" i="9"/>
  <c r="P43" i="9"/>
  <c r="L43" i="9"/>
  <c r="K43" i="9"/>
  <c r="J43" i="9"/>
  <c r="I43" i="9"/>
  <c r="H43" i="9"/>
  <c r="G43" i="9"/>
  <c r="F43" i="9"/>
  <c r="V42" i="9"/>
  <c r="U42" i="9"/>
  <c r="S42" i="9"/>
  <c r="Q42" i="9"/>
  <c r="P42" i="9"/>
  <c r="L42" i="9"/>
  <c r="K42" i="9"/>
  <c r="I42" i="9"/>
  <c r="G42" i="9"/>
  <c r="F42" i="9"/>
  <c r="V41" i="9"/>
  <c r="U41" i="9"/>
  <c r="T41" i="9"/>
  <c r="S41" i="9"/>
  <c r="Q41" i="9"/>
  <c r="P41" i="9"/>
  <c r="L41" i="9"/>
  <c r="K41" i="9"/>
  <c r="J41" i="9"/>
  <c r="I41" i="9"/>
  <c r="G41" i="9"/>
  <c r="F41" i="9"/>
  <c r="V40" i="9"/>
  <c r="U40" i="9"/>
  <c r="T40" i="9"/>
  <c r="S40" i="9"/>
  <c r="R40" i="9"/>
  <c r="Q40" i="9"/>
  <c r="P40" i="9"/>
  <c r="L40" i="9"/>
  <c r="K40" i="9"/>
  <c r="J40" i="9"/>
  <c r="I40" i="9"/>
  <c r="H40" i="9"/>
  <c r="G40" i="9"/>
  <c r="F40" i="9"/>
  <c r="V39" i="9"/>
  <c r="U39" i="9"/>
  <c r="T39" i="9"/>
  <c r="S39" i="9"/>
  <c r="R39" i="9"/>
  <c r="Q39" i="9"/>
  <c r="L39" i="9"/>
  <c r="K39" i="9"/>
  <c r="J39" i="9"/>
  <c r="I39" i="9"/>
  <c r="H39" i="9"/>
  <c r="G39" i="9"/>
  <c r="V38" i="9"/>
  <c r="U38" i="9"/>
  <c r="T38" i="9"/>
  <c r="S38" i="9"/>
  <c r="R38" i="9"/>
  <c r="Q38" i="9"/>
  <c r="L38" i="9"/>
  <c r="K38" i="9"/>
  <c r="J38" i="9"/>
  <c r="I38" i="9"/>
  <c r="H38" i="9"/>
  <c r="G38" i="9"/>
  <c r="V37" i="9"/>
  <c r="U37" i="9"/>
  <c r="T37" i="9"/>
  <c r="S37" i="9"/>
  <c r="R37" i="9"/>
  <c r="Q37" i="9"/>
  <c r="P37" i="9"/>
  <c r="L37" i="9"/>
  <c r="K37" i="9"/>
  <c r="J37" i="9"/>
  <c r="I37" i="9"/>
  <c r="H37" i="9"/>
  <c r="G37" i="9"/>
  <c r="F37" i="9"/>
  <c r="V36" i="9"/>
  <c r="U36" i="9"/>
  <c r="T36" i="9"/>
  <c r="S36" i="9"/>
  <c r="R36" i="9"/>
  <c r="Q36" i="9"/>
  <c r="P36" i="9"/>
  <c r="L36" i="9"/>
  <c r="K36" i="9"/>
  <c r="J36" i="9"/>
  <c r="I36" i="9"/>
  <c r="H36" i="9"/>
  <c r="G36" i="9"/>
  <c r="F36" i="9"/>
  <c r="V35" i="9"/>
  <c r="U35" i="9"/>
  <c r="T35" i="9"/>
  <c r="S35" i="9"/>
  <c r="R35" i="9"/>
  <c r="Q35" i="9"/>
  <c r="P35" i="9"/>
  <c r="L35" i="9"/>
  <c r="K35" i="9"/>
  <c r="J35" i="9"/>
  <c r="I35" i="9"/>
  <c r="H35" i="9"/>
  <c r="G35" i="9"/>
  <c r="F35" i="9"/>
  <c r="V34" i="9"/>
  <c r="U34" i="9"/>
  <c r="T34" i="9"/>
  <c r="S34" i="9"/>
  <c r="R34" i="9"/>
  <c r="Q34" i="9"/>
  <c r="P34" i="9"/>
  <c r="L34" i="9"/>
  <c r="K34" i="9"/>
  <c r="J34" i="9"/>
  <c r="I34" i="9"/>
  <c r="H34" i="9"/>
  <c r="G34" i="9"/>
  <c r="F34" i="9"/>
  <c r="V33" i="9"/>
  <c r="U33" i="9"/>
  <c r="T33" i="9"/>
  <c r="S33" i="9"/>
  <c r="R33" i="9"/>
  <c r="Q33" i="9"/>
  <c r="P33" i="9"/>
  <c r="L33" i="9"/>
  <c r="K33" i="9"/>
  <c r="J33" i="9"/>
  <c r="I33" i="9"/>
  <c r="H33" i="9"/>
  <c r="G33" i="9"/>
  <c r="F33" i="9"/>
  <c r="V32" i="9"/>
  <c r="T32" i="9"/>
  <c r="R32" i="9"/>
  <c r="P32" i="9"/>
  <c r="L32" i="9"/>
  <c r="J32" i="9"/>
  <c r="H32" i="9"/>
  <c r="F32" i="9"/>
  <c r="V31" i="9"/>
  <c r="T31" i="9"/>
  <c r="R31" i="9"/>
  <c r="P31" i="9"/>
  <c r="L31" i="9"/>
  <c r="J31" i="9"/>
  <c r="H31" i="9"/>
  <c r="F31" i="9"/>
  <c r="V30" i="9"/>
  <c r="U30" i="9"/>
  <c r="T30" i="9"/>
  <c r="S30" i="9"/>
  <c r="R30" i="9"/>
  <c r="Q30" i="9"/>
  <c r="P30" i="9"/>
  <c r="L30" i="9"/>
  <c r="K30" i="9"/>
  <c r="J30" i="9"/>
  <c r="I30" i="9"/>
  <c r="H30" i="9"/>
  <c r="G30" i="9"/>
  <c r="F30" i="9"/>
  <c r="AE27" i="9"/>
  <c r="C27" i="9"/>
  <c r="B27" i="9"/>
  <c r="A27" i="9"/>
  <c r="AE26" i="9"/>
  <c r="AD26" i="9"/>
  <c r="AC26" i="9"/>
  <c r="AB26" i="9"/>
  <c r="AA26" i="9"/>
  <c r="Z26" i="9"/>
  <c r="Y26" i="9"/>
  <c r="V26" i="9"/>
  <c r="U26" i="9"/>
  <c r="T26" i="9"/>
  <c r="S26" i="9"/>
  <c r="R26" i="9"/>
  <c r="Q26" i="9"/>
  <c r="P26" i="9"/>
  <c r="N26" i="9"/>
  <c r="L26" i="9"/>
  <c r="K26" i="9"/>
  <c r="J26" i="9"/>
  <c r="I26" i="9"/>
  <c r="H26" i="9"/>
  <c r="G26" i="9"/>
  <c r="F26" i="9"/>
  <c r="D26" i="9"/>
  <c r="C26" i="9"/>
  <c r="B26" i="9"/>
  <c r="A26" i="9"/>
  <c r="AE25" i="9"/>
  <c r="AD25" i="9"/>
  <c r="AB25" i="9"/>
  <c r="Z25" i="9"/>
  <c r="Y25" i="9"/>
  <c r="V25" i="9"/>
  <c r="U25" i="9"/>
  <c r="T25" i="9"/>
  <c r="S25" i="9"/>
  <c r="R25" i="9"/>
  <c r="Q25" i="9"/>
  <c r="P25" i="9"/>
  <c r="N25" i="9"/>
  <c r="L25" i="9"/>
  <c r="K25" i="9"/>
  <c r="J25" i="9"/>
  <c r="I25" i="9"/>
  <c r="H25" i="9"/>
  <c r="G25" i="9"/>
  <c r="F25" i="9"/>
  <c r="D25" i="9"/>
  <c r="C25" i="9"/>
  <c r="B25" i="9"/>
  <c r="A25" i="9"/>
  <c r="AE24" i="9"/>
  <c r="AD24" i="9"/>
  <c r="AC24" i="9"/>
  <c r="AB24" i="9"/>
  <c r="Z24" i="9"/>
  <c r="Y24" i="9"/>
  <c r="V24" i="9"/>
  <c r="U24" i="9"/>
  <c r="T24" i="9"/>
  <c r="S24" i="9"/>
  <c r="R24" i="9"/>
  <c r="Q24" i="9"/>
  <c r="P24" i="9"/>
  <c r="N24" i="9"/>
  <c r="L24" i="9"/>
  <c r="K24" i="9"/>
  <c r="J24" i="9"/>
  <c r="I24" i="9"/>
  <c r="H24" i="9"/>
  <c r="G24" i="9"/>
  <c r="F24" i="9"/>
  <c r="D24" i="9"/>
  <c r="C24" i="9"/>
  <c r="B24" i="9"/>
  <c r="A24" i="9"/>
  <c r="AE23" i="9"/>
  <c r="AD23" i="9"/>
  <c r="AC23" i="9"/>
  <c r="AB23" i="9"/>
  <c r="AA23" i="9"/>
  <c r="Z23" i="9"/>
  <c r="Y23" i="9"/>
  <c r="V23" i="9"/>
  <c r="U23" i="9"/>
  <c r="T23" i="9"/>
  <c r="S23" i="9"/>
  <c r="R23" i="9"/>
  <c r="Q23" i="9"/>
  <c r="P23" i="9"/>
  <c r="N23" i="9"/>
  <c r="L23" i="9"/>
  <c r="K23" i="9"/>
  <c r="J23" i="9"/>
  <c r="I23" i="9"/>
  <c r="H23" i="9"/>
  <c r="G23" i="9"/>
  <c r="F23" i="9"/>
  <c r="D23" i="9"/>
  <c r="C23" i="9"/>
  <c r="B23" i="9"/>
  <c r="A23" i="9"/>
  <c r="AE22" i="9"/>
  <c r="AD22" i="9"/>
  <c r="AC22" i="9"/>
  <c r="AB22" i="9"/>
  <c r="AA22" i="9"/>
  <c r="Z22" i="9"/>
  <c r="V22" i="9"/>
  <c r="U22" i="9"/>
  <c r="T22" i="9"/>
  <c r="S22" i="9"/>
  <c r="R22" i="9"/>
  <c r="Q22" i="9"/>
  <c r="P22" i="9"/>
  <c r="N22" i="9"/>
  <c r="L22" i="9"/>
  <c r="K22" i="9"/>
  <c r="J22" i="9"/>
  <c r="I22" i="9"/>
  <c r="H22" i="9"/>
  <c r="G22" i="9"/>
  <c r="F22" i="9"/>
  <c r="D22" i="9"/>
  <c r="C22" i="9"/>
  <c r="B22" i="9"/>
  <c r="A22" i="9"/>
  <c r="AE21" i="9"/>
  <c r="AD21" i="9"/>
  <c r="AC21" i="9"/>
  <c r="AB21" i="9"/>
  <c r="AA21" i="9"/>
  <c r="Z21" i="9"/>
  <c r="Y21" i="9"/>
  <c r="F38" i="9" s="1"/>
  <c r="V21" i="9"/>
  <c r="U21" i="9"/>
  <c r="T21" i="9"/>
  <c r="S21" i="9"/>
  <c r="R21" i="9"/>
  <c r="Q21" i="9"/>
  <c r="P21" i="9"/>
  <c r="N21" i="9"/>
  <c r="L21" i="9"/>
  <c r="K21" i="9"/>
  <c r="J21" i="9"/>
  <c r="I21" i="9"/>
  <c r="H21" i="9"/>
  <c r="G21" i="9"/>
  <c r="F21" i="9"/>
  <c r="D21" i="9"/>
  <c r="C21" i="9"/>
  <c r="B21" i="9"/>
  <c r="A21" i="9"/>
  <c r="AE20" i="9"/>
  <c r="AD20" i="9"/>
  <c r="AC20" i="9"/>
  <c r="AB20" i="9"/>
  <c r="AA20" i="9"/>
  <c r="Z20" i="9"/>
  <c r="Y20" i="9"/>
  <c r="V20" i="9"/>
  <c r="U20" i="9"/>
  <c r="T20" i="9"/>
  <c r="S20" i="9"/>
  <c r="R20" i="9"/>
  <c r="Q20" i="9"/>
  <c r="P20" i="9"/>
  <c r="N20" i="9"/>
  <c r="L20" i="9"/>
  <c r="K20" i="9"/>
  <c r="J20" i="9"/>
  <c r="I20" i="9"/>
  <c r="H20" i="9"/>
  <c r="G20" i="9"/>
  <c r="F20" i="9"/>
  <c r="D20" i="9"/>
  <c r="C20" i="9"/>
  <c r="B20" i="9"/>
  <c r="A20" i="9"/>
  <c r="AE19" i="9"/>
  <c r="AD19" i="9"/>
  <c r="AC19" i="9"/>
  <c r="AB19" i="9"/>
  <c r="AA19" i="9"/>
  <c r="Z19" i="9"/>
  <c r="Y19" i="9"/>
  <c r="V19" i="9"/>
  <c r="U19" i="9"/>
  <c r="T19" i="9"/>
  <c r="S19" i="9"/>
  <c r="R19" i="9"/>
  <c r="Q19" i="9"/>
  <c r="P19" i="9"/>
  <c r="N19" i="9"/>
  <c r="L19" i="9"/>
  <c r="K19" i="9"/>
  <c r="J19" i="9"/>
  <c r="I19" i="9"/>
  <c r="H19" i="9"/>
  <c r="G19" i="9"/>
  <c r="F19" i="9"/>
  <c r="D19" i="9"/>
  <c r="C19" i="9"/>
  <c r="B19" i="9"/>
  <c r="A19" i="9"/>
  <c r="AE18" i="9"/>
  <c r="AD18" i="9"/>
  <c r="AC18" i="9"/>
  <c r="AB18" i="9"/>
  <c r="AA18" i="9"/>
  <c r="Z18" i="9"/>
  <c r="Y18" i="9"/>
  <c r="V18" i="9"/>
  <c r="U18" i="9"/>
  <c r="T18" i="9"/>
  <c r="S18" i="9"/>
  <c r="R18" i="9"/>
  <c r="Q18" i="9"/>
  <c r="P18" i="9"/>
  <c r="N18" i="9"/>
  <c r="L18" i="9"/>
  <c r="K18" i="9"/>
  <c r="J18" i="9"/>
  <c r="I18" i="9"/>
  <c r="H18" i="9"/>
  <c r="G18" i="9"/>
  <c r="F18" i="9"/>
  <c r="D18" i="9"/>
  <c r="C18" i="9"/>
  <c r="B18" i="9"/>
  <c r="A18" i="9"/>
  <c r="AE17" i="9"/>
  <c r="AD17" i="9"/>
  <c r="AC17" i="9"/>
  <c r="AB17" i="9"/>
  <c r="AA17" i="9"/>
  <c r="Z17" i="9"/>
  <c r="Y17" i="9"/>
  <c r="V17" i="9"/>
  <c r="U17" i="9"/>
  <c r="T17" i="9"/>
  <c r="S17" i="9"/>
  <c r="R17" i="9"/>
  <c r="Q17" i="9"/>
  <c r="P17" i="9"/>
  <c r="N17" i="9"/>
  <c r="L17" i="9"/>
  <c r="K17" i="9"/>
  <c r="J17" i="9"/>
  <c r="I17" i="9"/>
  <c r="H17" i="9"/>
  <c r="G17" i="9"/>
  <c r="F17" i="9"/>
  <c r="D17" i="9"/>
  <c r="C17" i="9"/>
  <c r="B17" i="9"/>
  <c r="A17" i="9"/>
  <c r="AE16" i="9"/>
  <c r="AD16" i="9"/>
  <c r="AC16" i="9"/>
  <c r="AB16" i="9"/>
  <c r="AA16" i="9"/>
  <c r="Z16" i="9"/>
  <c r="Y16" i="9"/>
  <c r="V16" i="9"/>
  <c r="U16" i="9"/>
  <c r="T16" i="9"/>
  <c r="S16" i="9"/>
  <c r="R16" i="9"/>
  <c r="Q16" i="9"/>
  <c r="P16" i="9"/>
  <c r="N16" i="9"/>
  <c r="L16" i="9"/>
  <c r="K16" i="9"/>
  <c r="J16" i="9"/>
  <c r="I16" i="9"/>
  <c r="H16" i="9"/>
  <c r="G16" i="9"/>
  <c r="F16" i="9"/>
  <c r="D16" i="9"/>
  <c r="C16" i="9"/>
  <c r="B16" i="9"/>
  <c r="A16" i="9"/>
  <c r="AE15" i="9"/>
  <c r="AC15" i="9"/>
  <c r="AB15" i="9"/>
  <c r="I32" i="9" s="1"/>
  <c r="AA15" i="9"/>
  <c r="Z15" i="9"/>
  <c r="G32" i="9" s="1"/>
  <c r="Y15" i="9"/>
  <c r="V15" i="9"/>
  <c r="U15" i="9"/>
  <c r="T15" i="9"/>
  <c r="S15" i="9"/>
  <c r="R15" i="9"/>
  <c r="Q15" i="9"/>
  <c r="P15" i="9"/>
  <c r="N15" i="9"/>
  <c r="L15" i="9"/>
  <c r="K15" i="9"/>
  <c r="J15" i="9"/>
  <c r="I15" i="9"/>
  <c r="H15" i="9"/>
  <c r="G15" i="9"/>
  <c r="F15" i="9"/>
  <c r="D15" i="9"/>
  <c r="C15" i="9"/>
  <c r="B15" i="9"/>
  <c r="A15" i="9"/>
  <c r="AE14" i="9"/>
  <c r="AC14" i="9"/>
  <c r="AB14" i="9"/>
  <c r="I31" i="9" s="1"/>
  <c r="AA14" i="9"/>
  <c r="Z14" i="9"/>
  <c r="G31" i="9" s="1"/>
  <c r="Y14" i="9"/>
  <c r="V14" i="9"/>
  <c r="U14" i="9"/>
  <c r="T14" i="9"/>
  <c r="S14" i="9"/>
  <c r="R14" i="9"/>
  <c r="L14" i="9"/>
  <c r="K14" i="9"/>
  <c r="J14" i="9"/>
  <c r="I14" i="9"/>
  <c r="H14" i="9"/>
  <c r="G14" i="9"/>
  <c r="F14" i="9"/>
  <c r="C14" i="9"/>
  <c r="B14" i="9"/>
  <c r="A14" i="9"/>
  <c r="AE13" i="9"/>
  <c r="AD13" i="9"/>
  <c r="AC13" i="9"/>
  <c r="AB13" i="9"/>
  <c r="AA13" i="9"/>
  <c r="Z13" i="9"/>
  <c r="Y13" i="9"/>
  <c r="V13" i="9"/>
  <c r="U13" i="9"/>
  <c r="T13" i="9"/>
  <c r="S13" i="9"/>
  <c r="R13" i="9"/>
  <c r="Q13" i="9"/>
  <c r="P13" i="9"/>
  <c r="L13" i="9"/>
  <c r="K13" i="9"/>
  <c r="J13" i="9"/>
  <c r="I13" i="9"/>
  <c r="H13" i="9"/>
  <c r="G13" i="9"/>
  <c r="F13" i="9"/>
  <c r="U9" i="9"/>
  <c r="T9" i="9"/>
  <c r="S9" i="9"/>
  <c r="R9" i="9"/>
  <c r="Q9" i="9"/>
  <c r="P9" i="9"/>
  <c r="L7" i="9"/>
  <c r="K7" i="9"/>
  <c r="J7" i="9"/>
  <c r="I7" i="9"/>
  <c r="H7" i="9"/>
  <c r="G7" i="9"/>
  <c r="F7" i="9"/>
  <c r="V6" i="9"/>
  <c r="U6" i="9"/>
  <c r="T6" i="9"/>
  <c r="S6" i="9"/>
  <c r="R6" i="9"/>
  <c r="Q6" i="9"/>
  <c r="P6" i="9"/>
  <c r="L6" i="9"/>
  <c r="K6" i="9"/>
  <c r="J6" i="9"/>
  <c r="I6" i="9"/>
  <c r="H6" i="9"/>
  <c r="G6" i="9"/>
  <c r="F6" i="9"/>
  <c r="V5" i="9"/>
  <c r="U5" i="9"/>
  <c r="T5" i="9"/>
  <c r="S5" i="9"/>
  <c r="R5" i="9"/>
  <c r="Q5" i="9"/>
  <c r="P5" i="9"/>
  <c r="L5" i="9"/>
  <c r="K5" i="9"/>
  <c r="J5" i="9"/>
  <c r="I5" i="9"/>
  <c r="H5" i="9"/>
  <c r="G5" i="9"/>
  <c r="F5" i="9"/>
  <c r="D26" i="28"/>
  <c r="I24" i="28"/>
  <c r="H24" i="28"/>
  <c r="G24" i="28"/>
  <c r="F24" i="28"/>
  <c r="D24" i="28"/>
  <c r="I18" i="28"/>
  <c r="J6" i="1" s="1"/>
  <c r="H18" i="28"/>
  <c r="H26" i="28" s="1"/>
  <c r="G18" i="28"/>
  <c r="H6" i="1" s="1"/>
  <c r="F18" i="28"/>
  <c r="E18" i="28"/>
  <c r="D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Y16" i="8"/>
  <c r="V16" i="8"/>
  <c r="T16" i="8"/>
  <c r="O16" i="8"/>
  <c r="P15" i="8"/>
  <c r="O15" i="8"/>
  <c r="N15" i="8"/>
  <c r="M15" i="8"/>
  <c r="L15" i="8"/>
  <c r="K15" i="8"/>
  <c r="J15" i="8"/>
  <c r="I15" i="8"/>
  <c r="X14" i="8"/>
  <c r="W14" i="8"/>
  <c r="W16" i="8" s="1"/>
  <c r="V14" i="8"/>
  <c r="U14" i="8"/>
  <c r="AA25" i="9" s="1"/>
  <c r="T14" i="8"/>
  <c r="S14" i="8"/>
  <c r="R14" i="8"/>
  <c r="O14" i="8"/>
  <c r="N14" i="8"/>
  <c r="L14" i="8"/>
  <c r="K14" i="8"/>
  <c r="J14" i="8"/>
  <c r="I14" i="8"/>
  <c r="X13" i="8"/>
  <c r="W13" i="8"/>
  <c r="V13" i="8"/>
  <c r="U13" i="8"/>
  <c r="U16" i="8" s="1"/>
  <c r="T13" i="8"/>
  <c r="S13" i="8"/>
  <c r="R13" i="8"/>
  <c r="O13" i="8"/>
  <c r="N13" i="8"/>
  <c r="M13" i="8"/>
  <c r="L13" i="8"/>
  <c r="J13" i="8"/>
  <c r="I13" i="8"/>
  <c r="X12" i="8"/>
  <c r="W12" i="8"/>
  <c r="V12" i="8"/>
  <c r="U12" i="8"/>
  <c r="T12" i="8"/>
  <c r="S12" i="8"/>
  <c r="R12" i="8"/>
  <c r="P12" i="8"/>
  <c r="O12" i="8"/>
  <c r="N12" i="8"/>
  <c r="M12" i="8"/>
  <c r="L12" i="8"/>
  <c r="K12" i="8"/>
  <c r="J12" i="8"/>
  <c r="I12" i="8"/>
  <c r="X11" i="8"/>
  <c r="W11" i="8"/>
  <c r="V11" i="8"/>
  <c r="U11" i="8"/>
  <c r="T11" i="8"/>
  <c r="S11" i="8"/>
  <c r="Y22" i="9" s="1"/>
  <c r="R11" i="8"/>
  <c r="O11" i="8"/>
  <c r="N11" i="8"/>
  <c r="M11" i="8"/>
  <c r="L11" i="8"/>
  <c r="K11" i="8"/>
  <c r="J11" i="8"/>
  <c r="X10" i="8"/>
  <c r="W10" i="8"/>
  <c r="V10" i="8"/>
  <c r="U10" i="8"/>
  <c r="T10" i="8"/>
  <c r="S10" i="8"/>
  <c r="R10" i="8"/>
  <c r="O10" i="8"/>
  <c r="N10" i="8"/>
  <c r="M10" i="8"/>
  <c r="L10" i="8"/>
  <c r="K10" i="8"/>
  <c r="J10" i="8"/>
  <c r="I10" i="8"/>
  <c r="X9" i="8"/>
  <c r="W9" i="8"/>
  <c r="V9" i="8"/>
  <c r="U9" i="8"/>
  <c r="T9" i="8"/>
  <c r="S9" i="8"/>
  <c r="R9" i="8"/>
  <c r="P9" i="8"/>
  <c r="O9" i="8"/>
  <c r="N9" i="8"/>
  <c r="M9" i="8"/>
  <c r="L9" i="8"/>
  <c r="K9" i="8"/>
  <c r="J9" i="8"/>
  <c r="I9" i="8"/>
  <c r="X8" i="8"/>
  <c r="W8" i="8"/>
  <c r="V8" i="8"/>
  <c r="U8" i="8"/>
  <c r="T8" i="8"/>
  <c r="S8" i="8"/>
  <c r="P8" i="8"/>
  <c r="O8" i="8"/>
  <c r="N8" i="8"/>
  <c r="M8" i="8"/>
  <c r="L8" i="8"/>
  <c r="K8" i="8"/>
  <c r="J8" i="8"/>
  <c r="I8" i="8"/>
  <c r="X7" i="8"/>
  <c r="W7" i="8"/>
  <c r="V7" i="8"/>
  <c r="U7" i="8"/>
  <c r="T7" i="8"/>
  <c r="S7" i="8"/>
  <c r="P7" i="8"/>
  <c r="O7" i="8"/>
  <c r="N7" i="8"/>
  <c r="M7" i="8"/>
  <c r="L7" i="8"/>
  <c r="K7" i="8"/>
  <c r="J7" i="8"/>
  <c r="I7" i="8"/>
  <c r="X6" i="8"/>
  <c r="W6" i="8"/>
  <c r="V6" i="8"/>
  <c r="U6" i="8"/>
  <c r="T6" i="8"/>
  <c r="S6" i="8"/>
  <c r="P6" i="8"/>
  <c r="O6" i="8"/>
  <c r="N6" i="8"/>
  <c r="M6" i="8"/>
  <c r="L6" i="8"/>
  <c r="K6" i="8"/>
  <c r="J6" i="8"/>
  <c r="I6" i="8"/>
  <c r="X5" i="8"/>
  <c r="W5" i="8"/>
  <c r="V5" i="8"/>
  <c r="U5" i="8"/>
  <c r="T5" i="8"/>
  <c r="S5" i="8"/>
  <c r="P5" i="8"/>
  <c r="O5" i="8"/>
  <c r="N5" i="8"/>
  <c r="M5" i="8"/>
  <c r="L5" i="8"/>
  <c r="K5" i="8"/>
  <c r="J5" i="8"/>
  <c r="I5" i="8"/>
  <c r="X4" i="8"/>
  <c r="N4" i="8" s="1"/>
  <c r="W4" i="8"/>
  <c r="V4" i="8"/>
  <c r="U4" i="8"/>
  <c r="T4" i="8"/>
  <c r="J4" i="8" s="1"/>
  <c r="S4" i="8"/>
  <c r="O4" i="8"/>
  <c r="M4" i="8"/>
  <c r="L4" i="8"/>
  <c r="L16" i="8" s="1"/>
  <c r="E10" i="3" s="1"/>
  <c r="K4" i="8"/>
  <c r="I4" i="8"/>
  <c r="X3" i="8"/>
  <c r="AD14" i="9" s="1"/>
  <c r="U31" i="9" s="1"/>
  <c r="W3" i="8"/>
  <c r="V3" i="8"/>
  <c r="U3" i="8"/>
  <c r="T3" i="8"/>
  <c r="J3" i="8" s="1"/>
  <c r="S3" i="8"/>
  <c r="O3" i="8"/>
  <c r="M3" i="8"/>
  <c r="L3" i="8"/>
  <c r="K3" i="8"/>
  <c r="I3" i="8"/>
  <c r="Y2" i="8"/>
  <c r="X2" i="8"/>
  <c r="W2" i="8"/>
  <c r="V2" i="8"/>
  <c r="U2" i="8"/>
  <c r="T2" i="8"/>
  <c r="S2" i="8"/>
  <c r="O2" i="8"/>
  <c r="N2" i="8"/>
  <c r="M2" i="8"/>
  <c r="L2" i="8"/>
  <c r="K2" i="8"/>
  <c r="J2" i="8"/>
  <c r="I2" i="8"/>
  <c r="H15" i="7"/>
  <c r="G15" i="7"/>
  <c r="F15" i="7"/>
  <c r="E15" i="7"/>
  <c r="D15" i="7"/>
  <c r="C15" i="7"/>
  <c r="G13" i="7"/>
  <c r="F13" i="7"/>
  <c r="E13" i="7"/>
  <c r="D13" i="7"/>
  <c r="C13" i="7"/>
  <c r="H11" i="7"/>
  <c r="G11" i="7"/>
  <c r="F11" i="7"/>
  <c r="E11" i="7"/>
  <c r="D11" i="7"/>
  <c r="C11" i="7"/>
  <c r="H9" i="7"/>
  <c r="H8" i="7"/>
  <c r="H7" i="7"/>
  <c r="G5" i="7"/>
  <c r="K40" i="4"/>
  <c r="L37" i="4"/>
  <c r="K37" i="4"/>
  <c r="L36" i="4"/>
  <c r="K36" i="4"/>
  <c r="L35" i="4"/>
  <c r="K35" i="4"/>
  <c r="L34" i="4"/>
  <c r="K34" i="4"/>
  <c r="L33" i="4"/>
  <c r="K32" i="4"/>
  <c r="K31" i="4"/>
  <c r="K30" i="4"/>
  <c r="J30" i="4"/>
  <c r="V9" i="9" s="1"/>
  <c r="K27" i="4"/>
  <c r="K26" i="4"/>
  <c r="K25" i="4"/>
  <c r="K24" i="4"/>
  <c r="K23" i="4"/>
  <c r="L20" i="4"/>
  <c r="K20" i="4"/>
  <c r="L19" i="4"/>
  <c r="K19" i="4"/>
  <c r="L18" i="4"/>
  <c r="K18" i="4"/>
  <c r="L17" i="4"/>
  <c r="K17" i="4"/>
  <c r="L16" i="4"/>
  <c r="K16" i="4"/>
  <c r="K15" i="4"/>
  <c r="K12" i="4"/>
  <c r="K11" i="4"/>
  <c r="G11" i="4"/>
  <c r="AL12" i="27" s="1"/>
  <c r="K10" i="4"/>
  <c r="E10" i="4"/>
  <c r="K9" i="4"/>
  <c r="K8" i="4"/>
  <c r="K7" i="4"/>
  <c r="K6" i="4"/>
  <c r="O2" i="4"/>
  <c r="J2" i="4"/>
  <c r="I2" i="4"/>
  <c r="H2" i="4"/>
  <c r="G2" i="4"/>
  <c r="F2" i="4"/>
  <c r="E2" i="4"/>
  <c r="D2" i="4"/>
  <c r="I1" i="4"/>
  <c r="H1" i="4"/>
  <c r="I47" i="3"/>
  <c r="I45" i="3"/>
  <c r="I44" i="3"/>
  <c r="I43" i="3"/>
  <c r="I42" i="3"/>
  <c r="I41" i="3"/>
  <c r="I35" i="3"/>
  <c r="I34" i="3"/>
  <c r="I33" i="3"/>
  <c r="I32" i="3"/>
  <c r="I31" i="3"/>
  <c r="I30" i="3"/>
  <c r="I29" i="3"/>
  <c r="I28" i="3"/>
  <c r="H28" i="3"/>
  <c r="G28" i="3"/>
  <c r="F28" i="3"/>
  <c r="E28" i="3"/>
  <c r="D28" i="3"/>
  <c r="C28" i="3"/>
  <c r="I27" i="3"/>
  <c r="G27" i="3"/>
  <c r="F27" i="3"/>
  <c r="E27" i="3"/>
  <c r="D27" i="3"/>
  <c r="C27" i="3"/>
  <c r="I20" i="3"/>
  <c r="R19" i="3"/>
  <c r="P19" i="3"/>
  <c r="O19" i="3"/>
  <c r="I19" i="3"/>
  <c r="R18" i="3"/>
  <c r="P18" i="3"/>
  <c r="O18" i="3"/>
  <c r="I18" i="3"/>
  <c r="R17" i="3"/>
  <c r="P17" i="3"/>
  <c r="O17" i="3"/>
  <c r="I17" i="3"/>
  <c r="R16" i="3"/>
  <c r="P16" i="3"/>
  <c r="O16" i="3"/>
  <c r="I16" i="3"/>
  <c r="R15" i="3"/>
  <c r="P15" i="3"/>
  <c r="O15" i="3"/>
  <c r="I15" i="3"/>
  <c r="R14" i="3"/>
  <c r="P14" i="3"/>
  <c r="O14" i="3"/>
  <c r="I14" i="3"/>
  <c r="R13" i="3"/>
  <c r="P13" i="3"/>
  <c r="O13" i="3"/>
  <c r="S11" i="3"/>
  <c r="R11" i="3"/>
  <c r="I11" i="3"/>
  <c r="S10" i="3"/>
  <c r="R10" i="3"/>
  <c r="I10" i="3"/>
  <c r="H10" i="3"/>
  <c r="S9" i="3"/>
  <c r="R9" i="3"/>
  <c r="I9" i="3"/>
  <c r="E9" i="3"/>
  <c r="C9" i="3"/>
  <c r="S8" i="3"/>
  <c r="R8" i="3"/>
  <c r="I8" i="3"/>
  <c r="H8" i="3"/>
  <c r="G8" i="3"/>
  <c r="F8" i="3"/>
  <c r="E8" i="3"/>
  <c r="D8" i="3"/>
  <c r="C8" i="3"/>
  <c r="S7" i="3"/>
  <c r="R7" i="3"/>
  <c r="I7" i="3"/>
  <c r="H7" i="3"/>
  <c r="G7" i="3"/>
  <c r="F7" i="3"/>
  <c r="E7" i="3"/>
  <c r="D7" i="3"/>
  <c r="C7" i="3"/>
  <c r="S6" i="3"/>
  <c r="R6" i="3"/>
  <c r="I6" i="3"/>
  <c r="S5" i="3"/>
  <c r="R5" i="3"/>
  <c r="I5" i="3"/>
  <c r="H4" i="3"/>
  <c r="H1" i="3"/>
  <c r="G1" i="3"/>
  <c r="F1" i="3"/>
  <c r="E1" i="3"/>
  <c r="D1" i="3"/>
  <c r="C1" i="3"/>
  <c r="B1" i="3"/>
  <c r="J6" i="2"/>
  <c r="H6" i="2"/>
  <c r="G6" i="1"/>
  <c r="E6" i="1"/>
  <c r="H1" i="2"/>
  <c r="G1" i="2"/>
  <c r="F1" i="2"/>
  <c r="E1" i="2"/>
  <c r="D1" i="2"/>
  <c r="C1" i="2"/>
  <c r="B1" i="2"/>
  <c r="BB70" i="27"/>
  <c r="BC65" i="27"/>
  <c r="BC64" i="27"/>
  <c r="BC61" i="27"/>
  <c r="BC60" i="27"/>
  <c r="AX60" i="27"/>
  <c r="BC59" i="27"/>
  <c r="BC58" i="27"/>
  <c r="BC57" i="27"/>
  <c r="AX56" i="27"/>
  <c r="BC56" i="27" s="1"/>
  <c r="BC55" i="27"/>
  <c r="BC54" i="27"/>
  <c r="BC53" i="27"/>
  <c r="AX52" i="27"/>
  <c r="BC52" i="27" s="1"/>
  <c r="BC51" i="27"/>
  <c r="BC50" i="27"/>
  <c r="S50" i="27"/>
  <c r="AX49" i="27"/>
  <c r="BC49" i="27" s="1"/>
  <c r="S49" i="27"/>
  <c r="S48" i="27"/>
  <c r="BC47" i="27"/>
  <c r="S47" i="27"/>
  <c r="BC46" i="27"/>
  <c r="S46" i="27"/>
  <c r="BC45" i="27"/>
  <c r="AI45" i="27"/>
  <c r="S45" i="27"/>
  <c r="BC44" i="27"/>
  <c r="AI44" i="27"/>
  <c r="S44" i="27"/>
  <c r="BC43" i="27"/>
  <c r="S43" i="27"/>
  <c r="BC42" i="27"/>
  <c r="AX41" i="27"/>
  <c r="S40" i="27"/>
  <c r="AI39" i="27"/>
  <c r="S39" i="27"/>
  <c r="AI38" i="27"/>
  <c r="S38" i="27"/>
  <c r="AI37" i="27"/>
  <c r="S37" i="27"/>
  <c r="AI36" i="27"/>
  <c r="S36" i="27"/>
  <c r="AI35" i="27"/>
  <c r="S35" i="27"/>
  <c r="S34" i="27"/>
  <c r="S33" i="27"/>
  <c r="S32" i="27"/>
  <c r="AN31" i="27"/>
  <c r="AM31" i="27"/>
  <c r="AL31" i="27"/>
  <c r="AK31" i="27"/>
  <c r="AJ31" i="27"/>
  <c r="AI31" i="27"/>
  <c r="S31" i="27"/>
  <c r="BC30" i="27"/>
  <c r="X30" i="27"/>
  <c r="W30" i="27"/>
  <c r="V30" i="27"/>
  <c r="U30" i="27"/>
  <c r="T30" i="27"/>
  <c r="S30" i="27"/>
  <c r="BC29" i="27"/>
  <c r="X29" i="27"/>
  <c r="W29" i="27"/>
  <c r="V29" i="27"/>
  <c r="U29" i="27"/>
  <c r="T29" i="27"/>
  <c r="S29" i="27"/>
  <c r="BC28" i="27"/>
  <c r="AI28" i="27"/>
  <c r="BC27" i="27"/>
  <c r="AI27" i="27"/>
  <c r="BC26" i="27"/>
  <c r="AI26" i="27"/>
  <c r="BC25" i="27"/>
  <c r="AI25" i="27"/>
  <c r="BC24" i="27"/>
  <c r="AI24" i="27"/>
  <c r="BC23" i="27"/>
  <c r="S23" i="27"/>
  <c r="BC22" i="27"/>
  <c r="S22" i="27"/>
  <c r="BC21" i="27"/>
  <c r="AI21" i="27"/>
  <c r="S21" i="27"/>
  <c r="BC20" i="27"/>
  <c r="AI20" i="27"/>
  <c r="S20" i="27"/>
  <c r="BC19" i="27"/>
  <c r="AI19" i="27"/>
  <c r="S19" i="27"/>
  <c r="BC18" i="27"/>
  <c r="AI18" i="27"/>
  <c r="S18" i="27"/>
  <c r="BC17" i="27"/>
  <c r="AI17" i="27"/>
  <c r="S17" i="27"/>
  <c r="BC16" i="27"/>
  <c r="AI16" i="27"/>
  <c r="S16" i="27"/>
  <c r="BC15" i="27"/>
  <c r="BC14" i="27"/>
  <c r="BC13" i="27"/>
  <c r="AN13" i="27"/>
  <c r="AM13" i="27"/>
  <c r="AL13" i="27"/>
  <c r="AK13" i="27"/>
  <c r="AJ13" i="27"/>
  <c r="AI13" i="27"/>
  <c r="S13" i="27"/>
  <c r="BC12" i="27"/>
  <c r="AK12" i="27"/>
  <c r="AJ12" i="27"/>
  <c r="AI12" i="27"/>
  <c r="BC11" i="27"/>
  <c r="AN11" i="27"/>
  <c r="AM11" i="27"/>
  <c r="AL11" i="27"/>
  <c r="AK11" i="27"/>
  <c r="AI11" i="27"/>
  <c r="X11" i="27"/>
  <c r="W11" i="27"/>
  <c r="V11" i="27"/>
  <c r="U11" i="27"/>
  <c r="T11" i="27"/>
  <c r="S11" i="27"/>
  <c r="BC32" i="27"/>
  <c r="BC10" i="27"/>
  <c r="AN10" i="27"/>
  <c r="AM10" i="27"/>
  <c r="AL10" i="27"/>
  <c r="AK10" i="27"/>
  <c r="AJ10" i="27"/>
  <c r="AI10" i="27"/>
  <c r="X10" i="27"/>
  <c r="W10" i="27"/>
  <c r="V10" i="27"/>
  <c r="U10" i="27"/>
  <c r="T10" i="27"/>
  <c r="S10" i="27"/>
  <c r="BC9" i="27"/>
  <c r="AN9" i="27"/>
  <c r="AM9" i="27"/>
  <c r="AL9" i="27"/>
  <c r="AK9" i="27"/>
  <c r="AJ9" i="27"/>
  <c r="AI9" i="27"/>
  <c r="X9" i="27"/>
  <c r="W9" i="27"/>
  <c r="V9" i="27"/>
  <c r="U9" i="27"/>
  <c r="T9" i="27"/>
  <c r="S9" i="27"/>
  <c r="BB71" i="27"/>
  <c r="G9" i="27"/>
  <c r="F9" i="27"/>
  <c r="D9" i="27"/>
  <c r="C9" i="27"/>
  <c r="B9" i="27"/>
  <c r="BC8" i="27"/>
  <c r="AN8" i="27"/>
  <c r="AM8" i="27"/>
  <c r="AL8" i="27"/>
  <c r="AK8" i="27"/>
  <c r="AJ8" i="27"/>
  <c r="AI8" i="27"/>
  <c r="S8" i="27"/>
  <c r="BC7" i="27"/>
  <c r="AI7" i="27"/>
  <c r="S7" i="27"/>
  <c r="BC6" i="27"/>
  <c r="AI6" i="27"/>
  <c r="X6" i="27"/>
  <c r="W6" i="27"/>
  <c r="V6" i="27"/>
  <c r="U6" i="27"/>
  <c r="T6" i="27"/>
  <c r="S6" i="27"/>
  <c r="BC5" i="27"/>
  <c r="BC4" i="27"/>
  <c r="BC3" i="27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D284" i="1"/>
  <c r="D282" i="1"/>
  <c r="E254" i="1"/>
  <c r="D254" i="1"/>
  <c r="C254" i="1"/>
  <c r="E253" i="1"/>
  <c r="E251" i="1"/>
  <c r="C253" i="1"/>
  <c r="D252" i="1"/>
  <c r="C252" i="1"/>
  <c r="D251" i="1"/>
  <c r="C251" i="1"/>
  <c r="E250" i="1"/>
  <c r="D250" i="1"/>
  <c r="C250" i="1"/>
  <c r="E249" i="1"/>
  <c r="D249" i="1"/>
  <c r="C249" i="1"/>
  <c r="D246" i="1"/>
  <c r="N241" i="1"/>
  <c r="D238" i="1"/>
  <c r="O237" i="1"/>
  <c r="N237" i="1"/>
  <c r="M237" i="1"/>
  <c r="D234" i="1"/>
  <c r="O233" i="1"/>
  <c r="M233" i="1"/>
  <c r="D228" i="1"/>
  <c r="N224" i="1"/>
  <c r="D221" i="1"/>
  <c r="O220" i="1"/>
  <c r="M220" i="1"/>
  <c r="D217" i="1"/>
  <c r="N216" i="1"/>
  <c r="M216" i="1"/>
  <c r="D213" i="1"/>
  <c r="N212" i="1"/>
  <c r="M212" i="1"/>
  <c r="K209" i="1"/>
  <c r="J209" i="1"/>
  <c r="I209" i="1"/>
  <c r="H209" i="1"/>
  <c r="G209" i="1"/>
  <c r="F209" i="1"/>
  <c r="E209" i="1"/>
  <c r="D208" i="1"/>
  <c r="D207" i="1"/>
  <c r="K204" i="1"/>
  <c r="J204" i="1"/>
  <c r="O201" i="1"/>
  <c r="M201" i="1"/>
  <c r="D195" i="1"/>
  <c r="D189" i="1"/>
  <c r="E187" i="1" s="1"/>
  <c r="F187" i="1" s="1"/>
  <c r="G187" i="1" s="1"/>
  <c r="H187" i="1" s="1"/>
  <c r="I187" i="1" s="1"/>
  <c r="J187" i="1" s="1"/>
  <c r="K187" i="1" s="1"/>
  <c r="D188" i="1"/>
  <c r="D186" i="1"/>
  <c r="D185" i="1"/>
  <c r="E184" i="1"/>
  <c r="F184" i="1" s="1"/>
  <c r="G184" i="1" s="1"/>
  <c r="H184" i="1" s="1"/>
  <c r="I184" i="1" s="1"/>
  <c r="J184" i="1" s="1"/>
  <c r="K184" i="1" s="1"/>
  <c r="D183" i="1"/>
  <c r="D182" i="1"/>
  <c r="E181" i="1"/>
  <c r="F181" i="1" s="1"/>
  <c r="G181" i="1" s="1"/>
  <c r="H181" i="1" s="1"/>
  <c r="I181" i="1" s="1"/>
  <c r="J181" i="1" s="1"/>
  <c r="K181" i="1" s="1"/>
  <c r="D180" i="1"/>
  <c r="D179" i="1"/>
  <c r="E178" i="1"/>
  <c r="K168" i="1"/>
  <c r="J168" i="1"/>
  <c r="I168" i="1"/>
  <c r="H168" i="1"/>
  <c r="G168" i="1"/>
  <c r="F168" i="1"/>
  <c r="E168" i="1"/>
  <c r="E162" i="1"/>
  <c r="F162" i="1" s="1"/>
  <c r="G162" i="1" s="1"/>
  <c r="H162" i="1" s="1"/>
  <c r="I162" i="1" s="1"/>
  <c r="J162" i="1" s="1"/>
  <c r="K162" i="1" s="1"/>
  <c r="K160" i="1"/>
  <c r="J160" i="1"/>
  <c r="I160" i="1"/>
  <c r="H160" i="1"/>
  <c r="G160" i="1"/>
  <c r="F160" i="1"/>
  <c r="E160" i="1"/>
  <c r="E154" i="1"/>
  <c r="F154" i="1" s="1"/>
  <c r="G154" i="1" s="1"/>
  <c r="H154" i="1" s="1"/>
  <c r="I154" i="1" s="1"/>
  <c r="J154" i="1" s="1"/>
  <c r="K154" i="1" s="1"/>
  <c r="K152" i="1"/>
  <c r="J152" i="1"/>
  <c r="I152" i="1"/>
  <c r="H152" i="1"/>
  <c r="G152" i="1"/>
  <c r="F152" i="1"/>
  <c r="E152" i="1"/>
  <c r="D147" i="1"/>
  <c r="E146" i="1"/>
  <c r="F146" i="1" s="1"/>
  <c r="G146" i="1" s="1"/>
  <c r="H146" i="1" s="1"/>
  <c r="I146" i="1" s="1"/>
  <c r="J146" i="1" s="1"/>
  <c r="K146" i="1" s="1"/>
  <c r="K144" i="1"/>
  <c r="J144" i="1"/>
  <c r="I144" i="1"/>
  <c r="H144" i="1"/>
  <c r="G144" i="1"/>
  <c r="F144" i="1"/>
  <c r="E144" i="1"/>
  <c r="N138" i="1"/>
  <c r="D135" i="1"/>
  <c r="D133" i="1"/>
  <c r="D113" i="1"/>
  <c r="K98" i="1"/>
  <c r="D97" i="1"/>
  <c r="N94" i="1"/>
  <c r="D90" i="1"/>
  <c r="O89" i="1"/>
  <c r="M89" i="1"/>
  <c r="D86" i="1"/>
  <c r="D85" i="1"/>
  <c r="O84" i="1"/>
  <c r="M84" i="1"/>
  <c r="D79" i="1"/>
  <c r="D78" i="1"/>
  <c r="D77" i="1"/>
  <c r="D70" i="1"/>
  <c r="D69" i="1"/>
  <c r="D68" i="1"/>
  <c r="D67" i="1"/>
  <c r="D66" i="1"/>
  <c r="D65" i="1"/>
  <c r="K57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N49" i="1"/>
  <c r="D46" i="1"/>
  <c r="D45" i="1"/>
  <c r="O41" i="1"/>
  <c r="K40" i="1"/>
  <c r="K39" i="1"/>
  <c r="K42" i="1" s="1"/>
  <c r="K35" i="1"/>
  <c r="J35" i="1"/>
  <c r="I35" i="1"/>
  <c r="H35" i="1"/>
  <c r="G35" i="1"/>
  <c r="F35" i="1"/>
  <c r="E35" i="1"/>
  <c r="K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K34" i="1" s="1"/>
  <c r="G30" i="1"/>
  <c r="G34" i="1" s="1"/>
  <c r="G36" i="1" s="1"/>
  <c r="E30" i="1"/>
  <c r="E34" i="1" s="1"/>
  <c r="K29" i="1"/>
  <c r="J29" i="1"/>
  <c r="J33" i="1" s="1"/>
  <c r="I29" i="1"/>
  <c r="I33" i="1" s="1"/>
  <c r="H29" i="1"/>
  <c r="H33" i="1" s="1"/>
  <c r="G29" i="1"/>
  <c r="G33" i="1" s="1"/>
  <c r="F29" i="1"/>
  <c r="F33" i="1" s="1"/>
  <c r="E29" i="1"/>
  <c r="E33" i="1" s="1"/>
  <c r="E36" i="1" s="1"/>
  <c r="D25" i="1"/>
  <c r="D24" i="1"/>
  <c r="K26" i="1" s="1"/>
  <c r="K23" i="1" s="1"/>
  <c r="D20" i="1"/>
  <c r="D16" i="1"/>
  <c r="E17" i="1" s="1"/>
  <c r="K15" i="1"/>
  <c r="J15" i="1"/>
  <c r="I15" i="1"/>
  <c r="H15" i="1"/>
  <c r="G15" i="1"/>
  <c r="F15" i="1"/>
  <c r="E15" i="1"/>
  <c r="M9" i="1"/>
  <c r="K7" i="1"/>
  <c r="K10" i="1" s="1"/>
  <c r="K6" i="1"/>
  <c r="K73" i="1" s="1"/>
  <c r="K5" i="1"/>
  <c r="J5" i="1"/>
  <c r="I5" i="1"/>
  <c r="H5" i="1"/>
  <c r="G5" i="1"/>
  <c r="F5" i="1"/>
  <c r="E5" i="1"/>
  <c r="E170" i="1" l="1"/>
  <c r="F170" i="1" s="1"/>
  <c r="G170" i="1" s="1"/>
  <c r="H170" i="1" s="1"/>
  <c r="I170" i="1" s="1"/>
  <c r="J170" i="1" s="1"/>
  <c r="K170" i="1" s="1"/>
  <c r="E190" i="1"/>
  <c r="F178" i="1"/>
  <c r="E147" i="1"/>
  <c r="E148" i="1" s="1"/>
  <c r="F56" i="1"/>
  <c r="G9" i="9" s="1"/>
  <c r="G51" i="9" s="1"/>
  <c r="G71" i="9" s="1"/>
  <c r="E56" i="1"/>
  <c r="F9" i="9" s="1"/>
  <c r="F58" i="9" s="1"/>
  <c r="F78" i="9" s="1"/>
  <c r="H56" i="1"/>
  <c r="I56" i="1"/>
  <c r="J9" i="9" s="1"/>
  <c r="J56" i="9" s="1"/>
  <c r="J76" i="9" s="1"/>
  <c r="F49" i="9"/>
  <c r="F69" i="9" s="1"/>
  <c r="F55" i="9"/>
  <c r="F75" i="9" s="1"/>
  <c r="F59" i="9"/>
  <c r="F79" i="9" s="1"/>
  <c r="F51" i="9"/>
  <c r="F71" i="9" s="1"/>
  <c r="F50" i="9"/>
  <c r="F70" i="9" s="1"/>
  <c r="G55" i="9"/>
  <c r="G75" i="9" s="1"/>
  <c r="G54" i="9"/>
  <c r="G74" i="9" s="1"/>
  <c r="G61" i="9"/>
  <c r="G81" i="9" s="1"/>
  <c r="G60" i="9"/>
  <c r="G80" i="9" s="1"/>
  <c r="G53" i="9"/>
  <c r="G73" i="9" s="1"/>
  <c r="G59" i="9"/>
  <c r="G79" i="9" s="1"/>
  <c r="G52" i="9"/>
  <c r="G72" i="9" s="1"/>
  <c r="G58" i="9"/>
  <c r="G78" i="9" s="1"/>
  <c r="G57" i="9"/>
  <c r="G77" i="9" s="1"/>
  <c r="J56" i="1"/>
  <c r="K9" i="9" s="1"/>
  <c r="G50" i="9"/>
  <c r="G70" i="9" s="1"/>
  <c r="G56" i="1"/>
  <c r="H9" i="9" s="1"/>
  <c r="K44" i="1"/>
  <c r="K47" i="1" s="1"/>
  <c r="K82" i="1"/>
  <c r="K110" i="1"/>
  <c r="K60" i="1"/>
  <c r="K101" i="1" s="1"/>
  <c r="K123" i="1"/>
  <c r="K210" i="1"/>
  <c r="K206" i="1" s="1"/>
  <c r="K231" i="1"/>
  <c r="K130" i="1"/>
  <c r="K36" i="1"/>
  <c r="D248" i="1"/>
  <c r="E252" i="1"/>
  <c r="D163" i="1"/>
  <c r="H165" i="1" s="1"/>
  <c r="K175" i="1"/>
  <c r="D155" i="1"/>
  <c r="G155" i="1" s="1"/>
  <c r="G156" i="1" s="1"/>
  <c r="F147" i="1"/>
  <c r="F148" i="1" s="1"/>
  <c r="J147" i="1"/>
  <c r="J148" i="1" s="1"/>
  <c r="I149" i="1"/>
  <c r="K147" i="1"/>
  <c r="K148" i="1" s="1"/>
  <c r="J149" i="1"/>
  <c r="K149" i="1"/>
  <c r="E149" i="1"/>
  <c r="G147" i="1"/>
  <c r="G148" i="1" s="1"/>
  <c r="F149" i="1"/>
  <c r="H147" i="1"/>
  <c r="H148" i="1" s="1"/>
  <c r="G149" i="1"/>
  <c r="I147" i="1"/>
  <c r="I148" i="1" s="1"/>
  <c r="H149" i="1"/>
  <c r="AA24" i="9"/>
  <c r="K18" i="28"/>
  <c r="S32" i="9"/>
  <c r="G26" i="28"/>
  <c r="I44" i="9"/>
  <c r="H57" i="1" s="1"/>
  <c r="V12" i="27"/>
  <c r="H40" i="1"/>
  <c r="H39" i="1" s="1"/>
  <c r="H115" i="1" s="1"/>
  <c r="H231" i="1"/>
  <c r="H82" i="1"/>
  <c r="H210" i="1"/>
  <c r="H206" i="1" s="1"/>
  <c r="H60" i="1"/>
  <c r="H101" i="1" s="1"/>
  <c r="H130" i="1"/>
  <c r="H73" i="1"/>
  <c r="H123" i="1"/>
  <c r="H110" i="1"/>
  <c r="E6" i="27"/>
  <c r="S31" i="9"/>
  <c r="AB27" i="9"/>
  <c r="P4" i="8"/>
  <c r="AD15" i="9"/>
  <c r="F26" i="28"/>
  <c r="K13" i="8"/>
  <c r="P13" i="8" s="1"/>
  <c r="R42" i="9"/>
  <c r="AA27" i="9"/>
  <c r="H42" i="9"/>
  <c r="G130" i="1"/>
  <c r="G82" i="1"/>
  <c r="G123" i="1"/>
  <c r="G60" i="1"/>
  <c r="G101" i="1" s="1"/>
  <c r="G231" i="1"/>
  <c r="G210" i="1"/>
  <c r="G206" i="1" s="1"/>
  <c r="G110" i="1"/>
  <c r="G73" i="1"/>
  <c r="D6" i="27"/>
  <c r="F39" i="9"/>
  <c r="F57" i="9" s="1"/>
  <c r="F77" i="9" s="1"/>
  <c r="P39" i="9"/>
  <c r="S16" i="8"/>
  <c r="I16" i="8"/>
  <c r="B10" i="3" s="1"/>
  <c r="E40" i="1" s="1"/>
  <c r="B6" i="27"/>
  <c r="I11" i="8"/>
  <c r="P11" i="8" s="1"/>
  <c r="E110" i="1"/>
  <c r="E123" i="1"/>
  <c r="E210" i="1"/>
  <c r="E206" i="1" s="1"/>
  <c r="E82" i="1"/>
  <c r="E60" i="1"/>
  <c r="E101" i="1" s="1"/>
  <c r="E130" i="1"/>
  <c r="E73" i="1"/>
  <c r="E231" i="1"/>
  <c r="S12" i="27"/>
  <c r="F44" i="9"/>
  <c r="E57" i="1" s="1"/>
  <c r="E58" i="1" s="1"/>
  <c r="F56" i="9"/>
  <c r="P10" i="8"/>
  <c r="P38" i="9"/>
  <c r="P44" i="9" s="1"/>
  <c r="E98" i="1" s="1"/>
  <c r="E99" i="1" s="1"/>
  <c r="Y27" i="9"/>
  <c r="F6" i="1"/>
  <c r="F60" i="1" s="1"/>
  <c r="F101" i="1" s="1"/>
  <c r="C6" i="27"/>
  <c r="Q32" i="9"/>
  <c r="J16" i="8"/>
  <c r="C10" i="3" s="1"/>
  <c r="G44" i="9"/>
  <c r="F57" i="1" s="1"/>
  <c r="F58" i="1" s="1"/>
  <c r="G49" i="9"/>
  <c r="T12" i="27"/>
  <c r="F40" i="1"/>
  <c r="F39" i="1" s="1"/>
  <c r="F115" i="1" s="1"/>
  <c r="Z27" i="9"/>
  <c r="Q31" i="9"/>
  <c r="Q44" i="9" s="1"/>
  <c r="F98" i="1" s="1"/>
  <c r="F99" i="1" s="1"/>
  <c r="N3" i="8"/>
  <c r="P3" i="8" s="1"/>
  <c r="X16" i="8"/>
  <c r="G6" i="27"/>
  <c r="K31" i="9"/>
  <c r="J82" i="1"/>
  <c r="J110" i="1"/>
  <c r="J210" i="1"/>
  <c r="J206" i="1" s="1"/>
  <c r="I26" i="28"/>
  <c r="J231" i="1"/>
  <c r="J123" i="1"/>
  <c r="J73" i="1"/>
  <c r="J60" i="1"/>
  <c r="J101" i="1" s="1"/>
  <c r="J130" i="1"/>
  <c r="J201" i="1"/>
  <c r="K169" i="1"/>
  <c r="K153" i="1"/>
  <c r="K145" i="1"/>
  <c r="K161" i="1"/>
  <c r="AJ11" i="27"/>
  <c r="F30" i="1"/>
  <c r="F34" i="1" s="1"/>
  <c r="H30" i="1"/>
  <c r="H34" i="1" s="1"/>
  <c r="H36" i="1" s="1"/>
  <c r="H11" i="4"/>
  <c r="N140" i="1"/>
  <c r="N256" i="1" s="1"/>
  <c r="N260" i="1" s="1"/>
  <c r="E14" i="1"/>
  <c r="H26" i="1"/>
  <c r="H23" i="1" s="1"/>
  <c r="E19" i="1"/>
  <c r="E21" i="1" s="1"/>
  <c r="H19" i="1"/>
  <c r="H21" i="1" s="1"/>
  <c r="K19" i="1"/>
  <c r="K21" i="1" s="1"/>
  <c r="K55" i="1"/>
  <c r="K56" i="1" s="1"/>
  <c r="K58" i="1" s="1"/>
  <c r="J52" i="9"/>
  <c r="J72" i="9" s="1"/>
  <c r="J54" i="9"/>
  <c r="J74" i="9" s="1"/>
  <c r="J49" i="9"/>
  <c r="J69" i="9" s="1"/>
  <c r="J61" i="9"/>
  <c r="J81" i="9" s="1"/>
  <c r="J53" i="9"/>
  <c r="J73" i="9" s="1"/>
  <c r="H58" i="1"/>
  <c r="I9" i="9"/>
  <c r="K115" i="1"/>
  <c r="D121" i="1"/>
  <c r="E44" i="1"/>
  <c r="E47" i="1" s="1"/>
  <c r="G44" i="1"/>
  <c r="G47" i="1" s="1"/>
  <c r="H44" i="1"/>
  <c r="H47" i="1" s="1"/>
  <c r="D80" i="1"/>
  <c r="J44" i="1"/>
  <c r="J47" i="1" s="1"/>
  <c r="D71" i="1"/>
  <c r="D107" i="1"/>
  <c r="D114" i="1" s="1"/>
  <c r="D120" i="1" s="1"/>
  <c r="D127" i="1" s="1"/>
  <c r="D134" i="1" s="1"/>
  <c r="M132" i="1" s="1"/>
  <c r="O132" i="1" s="1"/>
  <c r="P7" i="9"/>
  <c r="E26" i="1"/>
  <c r="E23" i="1" s="1"/>
  <c r="F26" i="1"/>
  <c r="F23" i="1" s="1"/>
  <c r="G26" i="1"/>
  <c r="G23" i="1" s="1"/>
  <c r="I26" i="1"/>
  <c r="I23" i="1" s="1"/>
  <c r="J26" i="1"/>
  <c r="J23" i="1" s="1"/>
  <c r="F17" i="1"/>
  <c r="F14" i="1" s="1"/>
  <c r="J19" i="1"/>
  <c r="J21" i="1" s="1"/>
  <c r="G17" i="1"/>
  <c r="G14" i="1" s="1"/>
  <c r="H17" i="1"/>
  <c r="H14" i="1" s="1"/>
  <c r="J17" i="1"/>
  <c r="J14" i="1" s="1"/>
  <c r="I17" i="1"/>
  <c r="I14" i="1" s="1"/>
  <c r="K17" i="1"/>
  <c r="K14" i="1" s="1"/>
  <c r="M14" i="8"/>
  <c r="AC25" i="9"/>
  <c r="F282" i="1"/>
  <c r="F284" i="1"/>
  <c r="I19" i="1"/>
  <c r="I21" i="1" s="1"/>
  <c r="H9" i="27"/>
  <c r="H42" i="1"/>
  <c r="G19" i="1"/>
  <c r="G21" i="1" s="1"/>
  <c r="F19" i="1"/>
  <c r="M5" i="1"/>
  <c r="AX48" i="27"/>
  <c r="BC48" i="27" s="1"/>
  <c r="BC41" i="27"/>
  <c r="AX33" i="27" l="1"/>
  <c r="BC33" i="27" s="1"/>
  <c r="F60" i="9"/>
  <c r="F80" i="9" s="1"/>
  <c r="F54" i="9"/>
  <c r="F74" i="9" s="1"/>
  <c r="F61" i="9"/>
  <c r="F81" i="9" s="1"/>
  <c r="G56" i="9"/>
  <c r="G76" i="9" s="1"/>
  <c r="F52" i="9"/>
  <c r="F72" i="9" s="1"/>
  <c r="F53" i="9"/>
  <c r="F73" i="9" s="1"/>
  <c r="G178" i="1"/>
  <c r="F190" i="1"/>
  <c r="J59" i="9"/>
  <c r="J79" i="9" s="1"/>
  <c r="J57" i="9"/>
  <c r="J77" i="9" s="1"/>
  <c r="J50" i="9"/>
  <c r="J70" i="9" s="1"/>
  <c r="J55" i="9"/>
  <c r="J75" i="9" s="1"/>
  <c r="J58" i="9"/>
  <c r="J78" i="9" s="1"/>
  <c r="J51" i="9"/>
  <c r="J71" i="9" s="1"/>
  <c r="F155" i="1"/>
  <c r="F156" i="1" s="1"/>
  <c r="G163" i="1"/>
  <c r="G164" i="1" s="1"/>
  <c r="E165" i="1"/>
  <c r="F163" i="1"/>
  <c r="F164" i="1" s="1"/>
  <c r="G165" i="1"/>
  <c r="E163" i="1"/>
  <c r="E164" i="1" s="1"/>
  <c r="D171" i="1"/>
  <c r="E173" i="1" s="1"/>
  <c r="H163" i="1"/>
  <c r="H164" i="1" s="1"/>
  <c r="I163" i="1"/>
  <c r="I164" i="1" s="1"/>
  <c r="F165" i="1"/>
  <c r="J165" i="1"/>
  <c r="F36" i="1"/>
  <c r="F73" i="1"/>
  <c r="F231" i="1"/>
  <c r="K59" i="1"/>
  <c r="K52" i="1" s="1"/>
  <c r="F130" i="1"/>
  <c r="F210" i="1"/>
  <c r="F206" i="1" s="1"/>
  <c r="F44" i="1"/>
  <c r="F47" i="1" s="1"/>
  <c r="F100" i="1"/>
  <c r="F96" i="1" s="1"/>
  <c r="J157" i="1"/>
  <c r="F157" i="1"/>
  <c r="K163" i="1"/>
  <c r="K164" i="1" s="1"/>
  <c r="K159" i="1" s="1"/>
  <c r="H155" i="1"/>
  <c r="H156" i="1" s="1"/>
  <c r="I165" i="1"/>
  <c r="J163" i="1"/>
  <c r="J164" i="1" s="1"/>
  <c r="J155" i="1"/>
  <c r="J156" i="1" s="1"/>
  <c r="G157" i="1"/>
  <c r="I155" i="1"/>
  <c r="I156" i="1" s="1"/>
  <c r="K165" i="1"/>
  <c r="I157" i="1"/>
  <c r="K155" i="1"/>
  <c r="K156" i="1" s="1"/>
  <c r="K151" i="1" s="1"/>
  <c r="K143" i="1"/>
  <c r="E157" i="1"/>
  <c r="K157" i="1"/>
  <c r="H157" i="1"/>
  <c r="E155" i="1"/>
  <c r="E156" i="1" s="1"/>
  <c r="F173" i="1"/>
  <c r="J26" i="28"/>
  <c r="J28" i="28" s="1"/>
  <c r="H41" i="9"/>
  <c r="H44" i="9" s="1"/>
  <c r="G57" i="1" s="1"/>
  <c r="G58" i="1" s="1"/>
  <c r="G59" i="1" s="1"/>
  <c r="G52" i="1" s="1"/>
  <c r="R41" i="9"/>
  <c r="R44" i="9" s="1"/>
  <c r="G98" i="1" s="1"/>
  <c r="G99" i="1" s="1"/>
  <c r="G100" i="1" s="1"/>
  <c r="G96" i="1" s="1"/>
  <c r="S44" i="9"/>
  <c r="H98" i="1" s="1"/>
  <c r="H99" i="1" s="1"/>
  <c r="H100" i="1" s="1"/>
  <c r="H96" i="1" s="1"/>
  <c r="H59" i="1"/>
  <c r="H52" i="1" s="1"/>
  <c r="K32" i="9"/>
  <c r="U32" i="9"/>
  <c r="U44" i="9" s="1"/>
  <c r="J98" i="1" s="1"/>
  <c r="J99" i="1" s="1"/>
  <c r="J100" i="1" s="1"/>
  <c r="J96" i="1" s="1"/>
  <c r="K44" i="9"/>
  <c r="J57" i="1" s="1"/>
  <c r="J58" i="1" s="1"/>
  <c r="J59" i="1" s="1"/>
  <c r="J52" i="1" s="1"/>
  <c r="AD27" i="9"/>
  <c r="K16" i="8"/>
  <c r="D10" i="3" s="1"/>
  <c r="E115" i="1"/>
  <c r="E42" i="1"/>
  <c r="E100" i="1"/>
  <c r="E96" i="1" s="1"/>
  <c r="E59" i="1"/>
  <c r="E52" i="1" s="1"/>
  <c r="F76" i="9"/>
  <c r="F82" i="9" s="1"/>
  <c r="F83" i="9" s="1"/>
  <c r="F62" i="9"/>
  <c r="F63" i="9" s="1"/>
  <c r="F82" i="1"/>
  <c r="F123" i="1"/>
  <c r="F110" i="1"/>
  <c r="F42" i="1"/>
  <c r="G62" i="9"/>
  <c r="G63" i="9" s="1"/>
  <c r="G69" i="9"/>
  <c r="G82" i="9" s="1"/>
  <c r="G83" i="9" s="1"/>
  <c r="F59" i="1"/>
  <c r="F52" i="1" s="1"/>
  <c r="F6" i="27"/>
  <c r="H6" i="27" s="1"/>
  <c r="I6" i="1"/>
  <c r="N16" i="8"/>
  <c r="G10" i="3" s="1"/>
  <c r="X12" i="27" s="1"/>
  <c r="D46" i="4"/>
  <c r="C6" i="2"/>
  <c r="AM12" i="27"/>
  <c r="I30" i="1"/>
  <c r="I34" i="1" s="1"/>
  <c r="I11" i="4"/>
  <c r="K99" i="1"/>
  <c r="K100" i="1" s="1"/>
  <c r="K96" i="1" s="1"/>
  <c r="L9" i="9"/>
  <c r="L60" i="9" s="1"/>
  <c r="L80" i="9" s="1"/>
  <c r="K61" i="9"/>
  <c r="K81" i="9" s="1"/>
  <c r="K49" i="9"/>
  <c r="K50" i="9"/>
  <c r="K70" i="9" s="1"/>
  <c r="K58" i="9"/>
  <c r="K78" i="9" s="1"/>
  <c r="K60" i="9"/>
  <c r="K80" i="9" s="1"/>
  <c r="K54" i="9"/>
  <c r="K74" i="9" s="1"/>
  <c r="K56" i="9"/>
  <c r="K76" i="9" s="1"/>
  <c r="K55" i="9"/>
  <c r="K75" i="9" s="1"/>
  <c r="K52" i="9"/>
  <c r="K72" i="9" s="1"/>
  <c r="K57" i="9"/>
  <c r="K77" i="9" s="1"/>
  <c r="K51" i="9"/>
  <c r="K71" i="9" s="1"/>
  <c r="K59" i="9"/>
  <c r="K79" i="9" s="1"/>
  <c r="K53" i="9"/>
  <c r="K73" i="9" s="1"/>
  <c r="I59" i="9"/>
  <c r="I79" i="9" s="1"/>
  <c r="I57" i="9"/>
  <c r="I77" i="9" s="1"/>
  <c r="I55" i="9"/>
  <c r="I75" i="9" s="1"/>
  <c r="I53" i="9"/>
  <c r="I73" i="9" s="1"/>
  <c r="I49" i="9"/>
  <c r="I60" i="9"/>
  <c r="I80" i="9" s="1"/>
  <c r="I58" i="9"/>
  <c r="I78" i="9" s="1"/>
  <c r="I56" i="9"/>
  <c r="I76" i="9" s="1"/>
  <c r="I54" i="9"/>
  <c r="I74" i="9" s="1"/>
  <c r="I52" i="9"/>
  <c r="I72" i="9" s="1"/>
  <c r="I50" i="9"/>
  <c r="I70" i="9" s="1"/>
  <c r="I51" i="9"/>
  <c r="I71" i="9" s="1"/>
  <c r="I61" i="9"/>
  <c r="I81" i="9" s="1"/>
  <c r="H58" i="9"/>
  <c r="H78" i="9" s="1"/>
  <c r="H61" i="9"/>
  <c r="H81" i="9" s="1"/>
  <c r="H54" i="9"/>
  <c r="H74" i="9" s="1"/>
  <c r="H55" i="9"/>
  <c r="H75" i="9" s="1"/>
  <c r="H53" i="9"/>
  <c r="H73" i="9" s="1"/>
  <c r="H51" i="9"/>
  <c r="H71" i="9" s="1"/>
  <c r="H49" i="9"/>
  <c r="H52" i="9"/>
  <c r="H72" i="9" s="1"/>
  <c r="H50" i="9"/>
  <c r="H70" i="9" s="1"/>
  <c r="H56" i="9"/>
  <c r="H76" i="9" s="1"/>
  <c r="H57" i="9"/>
  <c r="H77" i="9" s="1"/>
  <c r="H60" i="9"/>
  <c r="H80" i="9" s="1"/>
  <c r="D128" i="1"/>
  <c r="D108" i="1"/>
  <c r="P60" i="9"/>
  <c r="P80" i="9" s="1"/>
  <c r="P59" i="9"/>
  <c r="P79" i="9" s="1"/>
  <c r="P53" i="9"/>
  <c r="P73" i="9" s="1"/>
  <c r="P57" i="9"/>
  <c r="P77" i="9" s="1"/>
  <c r="P51" i="9"/>
  <c r="P71" i="9" s="1"/>
  <c r="P58" i="9"/>
  <c r="P78" i="9" s="1"/>
  <c r="P52" i="9"/>
  <c r="P72" i="9" s="1"/>
  <c r="P56" i="9"/>
  <c r="P76" i="9" s="1"/>
  <c r="P50" i="9"/>
  <c r="P70" i="9" s="1"/>
  <c r="Q7" i="9"/>
  <c r="P55" i="9"/>
  <c r="P75" i="9" s="1"/>
  <c r="P49" i="9"/>
  <c r="P61" i="9"/>
  <c r="P81" i="9" s="1"/>
  <c r="P54" i="9"/>
  <c r="P74" i="9" s="1"/>
  <c r="P14" i="8"/>
  <c r="P16" i="8" s="1"/>
  <c r="M16" i="8"/>
  <c r="F10" i="3" s="1"/>
  <c r="T42" i="9"/>
  <c r="AC27" i="9"/>
  <c r="J42" i="9"/>
  <c r="E284" i="1"/>
  <c r="M23" i="1"/>
  <c r="O23" i="1" s="1"/>
  <c r="M14" i="1"/>
  <c r="M17" i="1" s="1"/>
  <c r="E282" i="1"/>
  <c r="N262" i="1"/>
  <c r="M258" i="1"/>
  <c r="F21" i="1"/>
  <c r="M19" i="1"/>
  <c r="AX62" i="27"/>
  <c r="AX68" i="27" s="1"/>
  <c r="H178" i="1" l="1"/>
  <c r="G190" i="1"/>
  <c r="L49" i="9"/>
  <c r="G173" i="1"/>
  <c r="J171" i="1"/>
  <c r="J172" i="1" s="1"/>
  <c r="I171" i="1"/>
  <c r="I172" i="1" s="1"/>
  <c r="H173" i="1"/>
  <c r="I36" i="1"/>
  <c r="H171" i="1"/>
  <c r="H172" i="1" s="1"/>
  <c r="I173" i="1"/>
  <c r="J173" i="1"/>
  <c r="G171" i="1"/>
  <c r="G172" i="1" s="1"/>
  <c r="E171" i="1"/>
  <c r="E172" i="1" s="1"/>
  <c r="F171" i="1"/>
  <c r="F172" i="1" s="1"/>
  <c r="K171" i="1"/>
  <c r="K172" i="1" s="1"/>
  <c r="K167" i="1" s="1"/>
  <c r="K173" i="1"/>
  <c r="I5" i="2"/>
  <c r="H59" i="9"/>
  <c r="H79" i="9" s="1"/>
  <c r="G40" i="1"/>
  <c r="G39" i="1" s="1"/>
  <c r="U12" i="27"/>
  <c r="I231" i="1"/>
  <c r="I60" i="1"/>
  <c r="I101" i="1" s="1"/>
  <c r="I82" i="1"/>
  <c r="I44" i="1"/>
  <c r="M6" i="1"/>
  <c r="D106" i="1" s="1"/>
  <c r="I130" i="1"/>
  <c r="I123" i="1"/>
  <c r="I210" i="1"/>
  <c r="I206" i="1" s="1"/>
  <c r="M206" i="1" s="1"/>
  <c r="I110" i="1"/>
  <c r="I73" i="1"/>
  <c r="J40" i="1"/>
  <c r="J39" i="1" s="1"/>
  <c r="D6" i="2"/>
  <c r="F6" i="2"/>
  <c r="B6" i="2"/>
  <c r="E6" i="2"/>
  <c r="G6" i="2"/>
  <c r="AN12" i="27"/>
  <c r="J30" i="1"/>
  <c r="J34" i="1" s="1"/>
  <c r="J36" i="1" s="1"/>
  <c r="O14" i="1"/>
  <c r="L55" i="9"/>
  <c r="L75" i="9" s="1"/>
  <c r="L51" i="9"/>
  <c r="L71" i="9" s="1"/>
  <c r="L50" i="9"/>
  <c r="L70" i="9" s="1"/>
  <c r="L53" i="9"/>
  <c r="L73" i="9" s="1"/>
  <c r="L59" i="9"/>
  <c r="L79" i="9" s="1"/>
  <c r="L57" i="9"/>
  <c r="L77" i="9" s="1"/>
  <c r="L52" i="9"/>
  <c r="L72" i="9" s="1"/>
  <c r="L58" i="9"/>
  <c r="L78" i="9" s="1"/>
  <c r="L61" i="9"/>
  <c r="L81" i="9" s="1"/>
  <c r="L56" i="9"/>
  <c r="L76" i="9" s="1"/>
  <c r="L54" i="9"/>
  <c r="L74" i="9" s="1"/>
  <c r="L69" i="9"/>
  <c r="K69" i="9"/>
  <c r="K82" i="9" s="1"/>
  <c r="K83" i="9" s="1"/>
  <c r="K62" i="9"/>
  <c r="K63" i="9" s="1"/>
  <c r="I69" i="9"/>
  <c r="I82" i="9" s="1"/>
  <c r="I83" i="9" s="1"/>
  <c r="I62" i="9"/>
  <c r="I63" i="9" s="1"/>
  <c r="H69" i="9"/>
  <c r="H82" i="9" s="1"/>
  <c r="H83" i="9" s="1"/>
  <c r="H62" i="9"/>
  <c r="H63" i="9" s="1"/>
  <c r="P69" i="9"/>
  <c r="P82" i="9" s="1"/>
  <c r="P83" i="9" s="1"/>
  <c r="P62" i="9"/>
  <c r="P63" i="9" s="1"/>
  <c r="Q59" i="9"/>
  <c r="Q79" i="9" s="1"/>
  <c r="Q53" i="9"/>
  <c r="Q73" i="9" s="1"/>
  <c r="Q57" i="9"/>
  <c r="Q77" i="9" s="1"/>
  <c r="Q51" i="9"/>
  <c r="Q71" i="9" s="1"/>
  <c r="Q58" i="9"/>
  <c r="Q78" i="9" s="1"/>
  <c r="Q52" i="9"/>
  <c r="Q72" i="9" s="1"/>
  <c r="Q56" i="9"/>
  <c r="Q76" i="9" s="1"/>
  <c r="Q50" i="9"/>
  <c r="Q70" i="9" s="1"/>
  <c r="R7" i="9"/>
  <c r="Q55" i="9"/>
  <c r="Q75" i="9" s="1"/>
  <c r="Q49" i="9"/>
  <c r="Q61" i="9"/>
  <c r="Q81" i="9" s="1"/>
  <c r="Q54" i="9"/>
  <c r="Q74" i="9" s="1"/>
  <c r="Q60" i="9"/>
  <c r="Q80" i="9" s="1"/>
  <c r="D269" i="1"/>
  <c r="E269" i="1" s="1"/>
  <c r="M26" i="1"/>
  <c r="T44" i="9"/>
  <c r="I98" i="1" s="1"/>
  <c r="I99" i="1" s="1"/>
  <c r="C7" i="27"/>
  <c r="F7" i="1"/>
  <c r="I7" i="1"/>
  <c r="F7" i="27"/>
  <c r="E7" i="1"/>
  <c r="E145" i="1" s="1"/>
  <c r="E143" i="1" s="1"/>
  <c r="B7" i="27"/>
  <c r="I40" i="1"/>
  <c r="W12" i="27"/>
  <c r="G7" i="27"/>
  <c r="J7" i="1"/>
  <c r="E7" i="27"/>
  <c r="H7" i="1"/>
  <c r="J60" i="9"/>
  <c r="J44" i="9"/>
  <c r="I57" i="1" s="1"/>
  <c r="I58" i="1" s="1"/>
  <c r="D267" i="1"/>
  <c r="O19" i="1"/>
  <c r="D268" i="1"/>
  <c r="M21" i="1"/>
  <c r="BC68" i="27"/>
  <c r="AX70" i="27"/>
  <c r="BC70" i="27" s="1"/>
  <c r="AX71" i="27"/>
  <c r="BC71" i="27" s="1"/>
  <c r="AX67" i="27"/>
  <c r="BC67" i="27" s="1"/>
  <c r="AX66" i="27"/>
  <c r="BC66" i="27" s="1"/>
  <c r="AX63" i="27"/>
  <c r="BC63" i="27" s="1"/>
  <c r="BC62" i="27"/>
  <c r="I178" i="1" l="1"/>
  <c r="H190" i="1"/>
  <c r="H177" i="1" s="1"/>
  <c r="M36" i="1"/>
  <c r="M28" i="1" s="1"/>
  <c r="M37" i="1" s="1"/>
  <c r="G115" i="1"/>
  <c r="G42" i="1"/>
  <c r="I59" i="1"/>
  <c r="I52" i="1" s="1"/>
  <c r="M52" i="1" s="1"/>
  <c r="M224" i="1"/>
  <c r="O224" i="1" s="1"/>
  <c r="O206" i="1"/>
  <c r="D283" i="1"/>
  <c r="I100" i="1"/>
  <c r="I96" i="1" s="1"/>
  <c r="M96" i="1" s="1"/>
  <c r="I1" i="1"/>
  <c r="D119" i="1"/>
  <c r="E201" i="1"/>
  <c r="D105" i="1"/>
  <c r="F201" i="1"/>
  <c r="F204" i="1" s="1"/>
  <c r="D104" i="1"/>
  <c r="G201" i="1"/>
  <c r="H1" i="1"/>
  <c r="D64" i="1"/>
  <c r="D76" i="1"/>
  <c r="I201" i="1"/>
  <c r="I204" i="1" s="1"/>
  <c r="K1" i="1"/>
  <c r="D41" i="4"/>
  <c r="F1" i="1"/>
  <c r="E1" i="1"/>
  <c r="D126" i="1"/>
  <c r="J1" i="1"/>
  <c r="H201" i="1"/>
  <c r="G1" i="1"/>
  <c r="D63" i="1"/>
  <c r="I47" i="1"/>
  <c r="M44" i="1"/>
  <c r="J115" i="1"/>
  <c r="J42" i="1"/>
  <c r="I6" i="2"/>
  <c r="F269" i="1"/>
  <c r="L82" i="9"/>
  <c r="L83" i="9" s="1"/>
  <c r="L62" i="9"/>
  <c r="L63" i="9" s="1"/>
  <c r="R58" i="9"/>
  <c r="R78" i="9" s="1"/>
  <c r="R52" i="9"/>
  <c r="R72" i="9" s="1"/>
  <c r="S7" i="9"/>
  <c r="R57" i="9"/>
  <c r="R77" i="9" s="1"/>
  <c r="R51" i="9"/>
  <c r="R71" i="9" s="1"/>
  <c r="R56" i="9"/>
  <c r="R76" i="9" s="1"/>
  <c r="R50" i="9"/>
  <c r="R70" i="9" s="1"/>
  <c r="R55" i="9"/>
  <c r="R75" i="9" s="1"/>
  <c r="R49" i="9"/>
  <c r="R61" i="9"/>
  <c r="R81" i="9" s="1"/>
  <c r="R54" i="9"/>
  <c r="R74" i="9" s="1"/>
  <c r="R60" i="9"/>
  <c r="R80" i="9" s="1"/>
  <c r="R59" i="9"/>
  <c r="R79" i="9" s="1"/>
  <c r="R53" i="9"/>
  <c r="R73" i="9" s="1"/>
  <c r="Q69" i="9"/>
  <c r="Q82" i="9" s="1"/>
  <c r="Q83" i="9" s="1"/>
  <c r="Q62" i="9"/>
  <c r="Q63" i="9" s="1"/>
  <c r="I169" i="1"/>
  <c r="I167" i="1" s="1"/>
  <c r="I145" i="1"/>
  <c r="I143" i="1" s="1"/>
  <c r="I161" i="1"/>
  <c r="I159" i="1" s="1"/>
  <c r="I175" i="1"/>
  <c r="I153" i="1"/>
  <c r="I151" i="1" s="1"/>
  <c r="I10" i="1"/>
  <c r="F175" i="1"/>
  <c r="F169" i="1"/>
  <c r="F167" i="1" s="1"/>
  <c r="F145" i="1"/>
  <c r="F143" i="1" s="1"/>
  <c r="F177" i="1"/>
  <c r="F161" i="1"/>
  <c r="F159" i="1" s="1"/>
  <c r="F153" i="1"/>
  <c r="F151" i="1" s="1"/>
  <c r="F10" i="1"/>
  <c r="J145" i="1"/>
  <c r="J143" i="1" s="1"/>
  <c r="J161" i="1"/>
  <c r="J159" i="1" s="1"/>
  <c r="J153" i="1"/>
  <c r="J151" i="1" s="1"/>
  <c r="J169" i="1"/>
  <c r="J167" i="1" s="1"/>
  <c r="J175" i="1"/>
  <c r="J10" i="1"/>
  <c r="J80" i="9"/>
  <c r="J82" i="9" s="1"/>
  <c r="J62" i="9"/>
  <c r="J63" i="9" s="1"/>
  <c r="M40" i="1"/>
  <c r="I39" i="1"/>
  <c r="E153" i="1"/>
  <c r="E169" i="1"/>
  <c r="E175" i="1"/>
  <c r="E177" i="1"/>
  <c r="E161" i="1"/>
  <c r="E10" i="1"/>
  <c r="H175" i="1"/>
  <c r="H169" i="1"/>
  <c r="H167" i="1" s="1"/>
  <c r="H145" i="1"/>
  <c r="H143" i="1" s="1"/>
  <c r="H161" i="1"/>
  <c r="H159" i="1" s="1"/>
  <c r="H153" i="1"/>
  <c r="H151" i="1" s="1"/>
  <c r="H10" i="1"/>
  <c r="D304" i="1"/>
  <c r="F267" i="1"/>
  <c r="E267" i="1"/>
  <c r="F268" i="1"/>
  <c r="D312" i="1"/>
  <c r="E268" i="1"/>
  <c r="I190" i="1" l="1"/>
  <c r="I177" i="1" s="1"/>
  <c r="I192" i="1" s="1"/>
  <c r="I194" i="1" s="1"/>
  <c r="I196" i="1" s="1"/>
  <c r="J178" i="1"/>
  <c r="E28" i="1"/>
  <c r="E37" i="1" s="1"/>
  <c r="O28" i="1"/>
  <c r="H28" i="1"/>
  <c r="H37" i="1" s="1"/>
  <c r="D270" i="1"/>
  <c r="E270" i="1" s="1"/>
  <c r="I28" i="1"/>
  <c r="I37" i="1" s="1"/>
  <c r="K28" i="1"/>
  <c r="K37" i="1" s="1"/>
  <c r="J28" i="1"/>
  <c r="J37" i="1" s="1"/>
  <c r="F28" i="1"/>
  <c r="F37" i="1" s="1"/>
  <c r="G28" i="1"/>
  <c r="G37" i="1" s="1"/>
  <c r="G233" i="1"/>
  <c r="G235" i="1" s="1"/>
  <c r="G220" i="1"/>
  <c r="G222" i="1" s="1"/>
  <c r="G132" i="1"/>
  <c r="G136" i="1" s="1"/>
  <c r="G216" i="1"/>
  <c r="G218" i="1" s="1"/>
  <c r="G84" i="1"/>
  <c r="G87" i="1" s="1"/>
  <c r="G89" i="1"/>
  <c r="G92" i="1" s="1"/>
  <c r="G237" i="1"/>
  <c r="G239" i="1" s="1"/>
  <c r="G212" i="1"/>
  <c r="G214" i="1" s="1"/>
  <c r="G204" i="1"/>
  <c r="G224" i="1"/>
  <c r="H204" i="1"/>
  <c r="H224" i="1"/>
  <c r="E109" i="1"/>
  <c r="E103" i="1" s="1"/>
  <c r="K109" i="1"/>
  <c r="K103" i="1" s="1"/>
  <c r="I109" i="1"/>
  <c r="I103" i="1" s="1"/>
  <c r="J109" i="1"/>
  <c r="J103" i="1" s="1"/>
  <c r="G109" i="1"/>
  <c r="G103" i="1" s="1"/>
  <c r="F109" i="1"/>
  <c r="F103" i="1" s="1"/>
  <c r="H109" i="1"/>
  <c r="H103" i="1" s="1"/>
  <c r="J84" i="1"/>
  <c r="J87" i="1" s="1"/>
  <c r="J233" i="1"/>
  <c r="J235" i="1" s="1"/>
  <c r="J216" i="1"/>
  <c r="J218" i="1" s="1"/>
  <c r="J89" i="1"/>
  <c r="J92" i="1" s="1"/>
  <c r="J212" i="1"/>
  <c r="J214" i="1" s="1"/>
  <c r="J237" i="1"/>
  <c r="J239" i="1" s="1"/>
  <c r="J220" i="1"/>
  <c r="J222" i="1" s="1"/>
  <c r="J132" i="1"/>
  <c r="J136" i="1" s="1"/>
  <c r="H132" i="1"/>
  <c r="H136" i="1" s="1"/>
  <c r="H212" i="1"/>
  <c r="H214" i="1" s="1"/>
  <c r="H237" i="1"/>
  <c r="H239" i="1" s="1"/>
  <c r="H89" i="1"/>
  <c r="H92" i="1" s="1"/>
  <c r="H84" i="1"/>
  <c r="H87" i="1" s="1"/>
  <c r="H233" i="1"/>
  <c r="H235" i="1" s="1"/>
  <c r="H216" i="1"/>
  <c r="H218" i="1" s="1"/>
  <c r="H220" i="1"/>
  <c r="H222" i="1" s="1"/>
  <c r="G129" i="1"/>
  <c r="G125" i="1" s="1"/>
  <c r="F129" i="1"/>
  <c r="F125" i="1" s="1"/>
  <c r="I129" i="1"/>
  <c r="I125" i="1" s="1"/>
  <c r="E129" i="1"/>
  <c r="E125" i="1" s="1"/>
  <c r="K129" i="1"/>
  <c r="K125" i="1" s="1"/>
  <c r="J129" i="1"/>
  <c r="J125" i="1" s="1"/>
  <c r="H129" i="1"/>
  <c r="H125" i="1" s="1"/>
  <c r="E132" i="1"/>
  <c r="E136" i="1" s="1"/>
  <c r="E237" i="1"/>
  <c r="E239" i="1" s="1"/>
  <c r="E216" i="1"/>
  <c r="E218" i="1" s="1"/>
  <c r="E89" i="1"/>
  <c r="E92" i="1" s="1"/>
  <c r="E84" i="1"/>
  <c r="E87" i="1" s="1"/>
  <c r="E233" i="1"/>
  <c r="E235" i="1" s="1"/>
  <c r="E220" i="1"/>
  <c r="E222" i="1" s="1"/>
  <c r="E212" i="1"/>
  <c r="E214" i="1" s="1"/>
  <c r="E224" i="1"/>
  <c r="E204" i="1"/>
  <c r="F237" i="1"/>
  <c r="F239" i="1" s="1"/>
  <c r="F212" i="1"/>
  <c r="F214" i="1" s="1"/>
  <c r="F132" i="1"/>
  <c r="F136" i="1" s="1"/>
  <c r="F84" i="1"/>
  <c r="F87" i="1" s="1"/>
  <c r="F233" i="1"/>
  <c r="F235" i="1" s="1"/>
  <c r="F220" i="1"/>
  <c r="F222" i="1" s="1"/>
  <c r="F216" i="1"/>
  <c r="F218" i="1" s="1"/>
  <c r="F89" i="1"/>
  <c r="F92" i="1" s="1"/>
  <c r="K122" i="1"/>
  <c r="K118" i="1" s="1"/>
  <c r="I122" i="1"/>
  <c r="I118" i="1" s="1"/>
  <c r="H122" i="1"/>
  <c r="H118" i="1" s="1"/>
  <c r="J122" i="1"/>
  <c r="J118" i="1" s="1"/>
  <c r="G122" i="1"/>
  <c r="G118" i="1" s="1"/>
  <c r="E122" i="1"/>
  <c r="E118" i="1" s="1"/>
  <c r="F122" i="1"/>
  <c r="F118" i="1" s="1"/>
  <c r="D229" i="1"/>
  <c r="M227" i="1" s="1"/>
  <c r="AI43" i="27"/>
  <c r="I216" i="1"/>
  <c r="I218" i="1" s="1"/>
  <c r="I237" i="1"/>
  <c r="I239" i="1" s="1"/>
  <c r="I84" i="1"/>
  <c r="I87" i="1" s="1"/>
  <c r="I212" i="1"/>
  <c r="I214" i="1" s="1"/>
  <c r="I233" i="1"/>
  <c r="I235" i="1" s="1"/>
  <c r="I220" i="1"/>
  <c r="I222" i="1" s="1"/>
  <c r="I132" i="1"/>
  <c r="I136" i="1" s="1"/>
  <c r="I89" i="1"/>
  <c r="I92" i="1" s="1"/>
  <c r="F72" i="1"/>
  <c r="F62" i="1" s="1"/>
  <c r="E72" i="1"/>
  <c r="E62" i="1" s="1"/>
  <c r="H72" i="1"/>
  <c r="H62" i="1" s="1"/>
  <c r="J72" i="1"/>
  <c r="J62" i="1" s="1"/>
  <c r="I72" i="1"/>
  <c r="I62" i="1" s="1"/>
  <c r="G72" i="1"/>
  <c r="G62" i="1" s="1"/>
  <c r="K72" i="1"/>
  <c r="K62" i="1" s="1"/>
  <c r="K216" i="1"/>
  <c r="K218" i="1" s="1"/>
  <c r="K89" i="1"/>
  <c r="K92" i="1" s="1"/>
  <c r="K237" i="1"/>
  <c r="K239" i="1" s="1"/>
  <c r="K212" i="1"/>
  <c r="K214" i="1" s="1"/>
  <c r="K84" i="1"/>
  <c r="K87" i="1" s="1"/>
  <c r="K201" i="1"/>
  <c r="K224" i="1" s="1"/>
  <c r="K233" i="1"/>
  <c r="K235" i="1" s="1"/>
  <c r="K220" i="1"/>
  <c r="K222" i="1" s="1"/>
  <c r="K132" i="1"/>
  <c r="K136" i="1" s="1"/>
  <c r="E283" i="1"/>
  <c r="D281" i="1"/>
  <c r="F283" i="1"/>
  <c r="D272" i="1"/>
  <c r="O44" i="1"/>
  <c r="M47" i="1"/>
  <c r="G81" i="1"/>
  <c r="G75" i="1" s="1"/>
  <c r="F81" i="1"/>
  <c r="F75" i="1" s="1"/>
  <c r="E81" i="1"/>
  <c r="E75" i="1" s="1"/>
  <c r="H81" i="1"/>
  <c r="H75" i="1" s="1"/>
  <c r="K81" i="1"/>
  <c r="K75" i="1" s="1"/>
  <c r="I81" i="1"/>
  <c r="I75" i="1" s="1"/>
  <c r="J81" i="1"/>
  <c r="J75" i="1" s="1"/>
  <c r="H192" i="1"/>
  <c r="H194" i="1" s="1"/>
  <c r="H196" i="1" s="1"/>
  <c r="F192" i="1"/>
  <c r="F194" i="1" s="1"/>
  <c r="F196" i="1" s="1"/>
  <c r="R69" i="9"/>
  <c r="R82" i="9" s="1"/>
  <c r="R83" i="9" s="1"/>
  <c r="R62" i="9"/>
  <c r="R63" i="9" s="1"/>
  <c r="S58" i="9"/>
  <c r="S78" i="9" s="1"/>
  <c r="S52" i="9"/>
  <c r="S72" i="9" s="1"/>
  <c r="S50" i="9"/>
  <c r="S70" i="9" s="1"/>
  <c r="T7" i="9"/>
  <c r="S57" i="9"/>
  <c r="S77" i="9" s="1"/>
  <c r="S51" i="9"/>
  <c r="S71" i="9" s="1"/>
  <c r="S56" i="9"/>
  <c r="S76" i="9" s="1"/>
  <c r="S55" i="9"/>
  <c r="S75" i="9" s="1"/>
  <c r="S49" i="9"/>
  <c r="S61" i="9"/>
  <c r="S81" i="9" s="1"/>
  <c r="S54" i="9"/>
  <c r="S74" i="9" s="1"/>
  <c r="S60" i="9"/>
  <c r="S80" i="9" s="1"/>
  <c r="S59" i="9"/>
  <c r="S79" i="9" s="1"/>
  <c r="S53" i="9"/>
  <c r="S73" i="9" s="1"/>
  <c r="E151" i="1"/>
  <c r="J83" i="9"/>
  <c r="K85" i="9"/>
  <c r="E159" i="1"/>
  <c r="E167" i="1"/>
  <c r="I115" i="1"/>
  <c r="D115" i="1" s="1"/>
  <c r="M112" i="1" s="1"/>
  <c r="M39" i="1"/>
  <c r="I42" i="1"/>
  <c r="O96" i="1"/>
  <c r="E192" i="1"/>
  <c r="O52" i="1"/>
  <c r="K178" i="1" l="1"/>
  <c r="K190" i="1" s="1"/>
  <c r="K177" i="1" s="1"/>
  <c r="K192" i="1" s="1"/>
  <c r="K194" i="1" s="1"/>
  <c r="K196" i="1" s="1"/>
  <c r="J190" i="1"/>
  <c r="J177" i="1" s="1"/>
  <c r="J192" i="1" s="1"/>
  <c r="J194" i="1" s="1"/>
  <c r="J196" i="1" s="1"/>
  <c r="D311" i="1"/>
  <c r="F270" i="1"/>
  <c r="G94" i="1"/>
  <c r="I94" i="1"/>
  <c r="K94" i="1"/>
  <c r="H94" i="1"/>
  <c r="M103" i="1"/>
  <c r="O103" i="1" s="1"/>
  <c r="F281" i="1"/>
  <c r="E281" i="1"/>
  <c r="H281" i="1"/>
  <c r="D331" i="1"/>
  <c r="D309" i="1"/>
  <c r="E227" i="1"/>
  <c r="E230" i="1" s="1"/>
  <c r="O227" i="1"/>
  <c r="K227" i="1"/>
  <c r="K230" i="1" s="1"/>
  <c r="J227" i="1"/>
  <c r="J230" i="1" s="1"/>
  <c r="I227" i="1"/>
  <c r="I230" i="1" s="1"/>
  <c r="H227" i="1"/>
  <c r="H230" i="1" s="1"/>
  <c r="G227" i="1"/>
  <c r="G230" i="1" s="1"/>
  <c r="M241" i="1"/>
  <c r="F227" i="1"/>
  <c r="F230" i="1" s="1"/>
  <c r="M62" i="1"/>
  <c r="E94" i="1"/>
  <c r="M75" i="1"/>
  <c r="O75" i="1" s="1"/>
  <c r="M118" i="1"/>
  <c r="O118" i="1" s="1"/>
  <c r="F94" i="1"/>
  <c r="M125" i="1"/>
  <c r="O125" i="1" s="1"/>
  <c r="F272" i="1"/>
  <c r="E272" i="1"/>
  <c r="J94" i="1"/>
  <c r="S69" i="9"/>
  <c r="S82" i="9" s="1"/>
  <c r="S83" i="9" s="1"/>
  <c r="S62" i="9"/>
  <c r="S63" i="9" s="1"/>
  <c r="T56" i="9"/>
  <c r="T76" i="9" s="1"/>
  <c r="T50" i="9"/>
  <c r="T70" i="9" s="1"/>
  <c r="T57" i="9"/>
  <c r="T77" i="9" s="1"/>
  <c r="T51" i="9"/>
  <c r="T71" i="9" s="1"/>
  <c r="T55" i="9"/>
  <c r="T75" i="9" s="1"/>
  <c r="T49" i="9"/>
  <c r="U7" i="9"/>
  <c r="T61" i="9"/>
  <c r="T81" i="9" s="1"/>
  <c r="T54" i="9"/>
  <c r="T74" i="9" s="1"/>
  <c r="T59" i="9"/>
  <c r="T79" i="9" s="1"/>
  <c r="T53" i="9"/>
  <c r="T73" i="9" s="1"/>
  <c r="T58" i="9"/>
  <c r="T78" i="9" s="1"/>
  <c r="T52" i="9"/>
  <c r="T72" i="9" s="1"/>
  <c r="T60" i="9"/>
  <c r="T80" i="9" s="1"/>
  <c r="K112" i="1"/>
  <c r="J112" i="1"/>
  <c r="I112" i="1"/>
  <c r="H112" i="1"/>
  <c r="G112" i="1"/>
  <c r="F112" i="1"/>
  <c r="E112" i="1"/>
  <c r="O112" i="1"/>
  <c r="O39" i="1"/>
  <c r="D271" i="1"/>
  <c r="M42" i="1"/>
  <c r="M49" i="1"/>
  <c r="E194" i="1"/>
  <c r="M138" i="1" l="1"/>
  <c r="O138" i="1" s="1"/>
  <c r="O62" i="1"/>
  <c r="M94" i="1"/>
  <c r="O241" i="1"/>
  <c r="D285" i="1"/>
  <c r="F331" i="1"/>
  <c r="E331" i="1"/>
  <c r="T69" i="9"/>
  <c r="T82" i="9" s="1"/>
  <c r="T83" i="9" s="1"/>
  <c r="T62" i="9"/>
  <c r="T63" i="9" s="1"/>
  <c r="U57" i="9"/>
  <c r="U77" i="9" s="1"/>
  <c r="U51" i="9"/>
  <c r="U71" i="9" s="1"/>
  <c r="U55" i="9"/>
  <c r="U75" i="9" s="1"/>
  <c r="U56" i="9"/>
  <c r="U76" i="9" s="1"/>
  <c r="U50" i="9"/>
  <c r="U70" i="9" s="1"/>
  <c r="V7" i="9"/>
  <c r="U49" i="9"/>
  <c r="U61" i="9"/>
  <c r="U81" i="9" s="1"/>
  <c r="U54" i="9"/>
  <c r="U74" i="9" s="1"/>
  <c r="U60" i="9"/>
  <c r="U80" i="9" s="1"/>
  <c r="U59" i="9"/>
  <c r="U79" i="9" s="1"/>
  <c r="U53" i="9"/>
  <c r="U73" i="9" s="1"/>
  <c r="U58" i="9"/>
  <c r="U78" i="9" s="1"/>
  <c r="U52" i="9"/>
  <c r="U72" i="9" s="1"/>
  <c r="H116" i="1"/>
  <c r="H138" i="1"/>
  <c r="J116" i="1"/>
  <c r="J138" i="1"/>
  <c r="E196" i="1"/>
  <c r="I116" i="1"/>
  <c r="I138" i="1"/>
  <c r="O49" i="1"/>
  <c r="M243" i="1"/>
  <c r="D305" i="1"/>
  <c r="F271" i="1"/>
  <c r="E271" i="1"/>
  <c r="D266" i="1"/>
  <c r="G116" i="1"/>
  <c r="G138" i="1"/>
  <c r="K116" i="1"/>
  <c r="K138" i="1"/>
  <c r="E116" i="1"/>
  <c r="E138" i="1"/>
  <c r="F116" i="1"/>
  <c r="F138" i="1"/>
  <c r="D276" i="1" l="1"/>
  <c r="D306" i="1"/>
  <c r="E285" i="1"/>
  <c r="H285" i="1"/>
  <c r="D332" i="1"/>
  <c r="F285" i="1"/>
  <c r="D275" i="1"/>
  <c r="O94" i="1"/>
  <c r="M140" i="1"/>
  <c r="O140" i="1" s="1"/>
  <c r="U69" i="9"/>
  <c r="U82" i="9" s="1"/>
  <c r="U83" i="9" s="1"/>
  <c r="U62" i="9"/>
  <c r="U63" i="9" s="1"/>
  <c r="V56" i="9"/>
  <c r="V76" i="9" s="1"/>
  <c r="V50" i="9"/>
  <c r="V70" i="9" s="1"/>
  <c r="V61" i="9"/>
  <c r="V81" i="9" s="1"/>
  <c r="V55" i="9"/>
  <c r="V75" i="9" s="1"/>
  <c r="V49" i="9"/>
  <c r="V54" i="9"/>
  <c r="V74" i="9" s="1"/>
  <c r="V60" i="9"/>
  <c r="V80" i="9" s="1"/>
  <c r="V59" i="9"/>
  <c r="V79" i="9" s="1"/>
  <c r="V53" i="9"/>
  <c r="V73" i="9" s="1"/>
  <c r="V58" i="9"/>
  <c r="V78" i="9" s="1"/>
  <c r="V52" i="9"/>
  <c r="V72" i="9" s="1"/>
  <c r="V57" i="9"/>
  <c r="V77" i="9" s="1"/>
  <c r="V51" i="9"/>
  <c r="V71" i="9" s="1"/>
  <c r="H266" i="1"/>
  <c r="F266" i="1"/>
  <c r="D328" i="1"/>
  <c r="E266" i="1"/>
  <c r="E276" i="1" l="1"/>
  <c r="F276" i="1"/>
  <c r="F275" i="1"/>
  <c r="E275" i="1"/>
  <c r="D274" i="1"/>
  <c r="E332" i="1"/>
  <c r="F332" i="1"/>
  <c r="V69" i="9"/>
  <c r="V82" i="9" s="1"/>
  <c r="V83" i="9" s="1"/>
  <c r="V62" i="9"/>
  <c r="V63" i="9" s="1"/>
  <c r="E328" i="1"/>
  <c r="F328" i="1"/>
  <c r="D329" i="1" l="1"/>
  <c r="D310" i="1"/>
  <c r="F274" i="1"/>
  <c r="E274" i="1"/>
  <c r="H274" i="1"/>
  <c r="D7" i="27"/>
  <c r="H7" i="27" s="1"/>
  <c r="G7" i="1"/>
  <c r="F329" i="1" l="1"/>
  <c r="E329" i="1"/>
  <c r="G153" i="1"/>
  <c r="G145" i="1"/>
  <c r="G177" i="1"/>
  <c r="G169" i="1"/>
  <c r="M7" i="1"/>
  <c r="M10" i="1" s="1"/>
  <c r="G175" i="1"/>
  <c r="M175" i="1" s="1"/>
  <c r="D278" i="1" s="1"/>
  <c r="G161" i="1"/>
  <c r="G10" i="1"/>
  <c r="E278" i="1" l="1"/>
  <c r="F278" i="1"/>
  <c r="G151" i="1"/>
  <c r="M151" i="1" s="1"/>
  <c r="M153" i="1"/>
  <c r="M161" i="1"/>
  <c r="G159" i="1"/>
  <c r="M159" i="1" s="1"/>
  <c r="M169" i="1"/>
  <c r="G167" i="1"/>
  <c r="M167" i="1" s="1"/>
  <c r="G192" i="1"/>
  <c r="M177" i="1"/>
  <c r="D279" i="1" s="1"/>
  <c r="G143" i="1"/>
  <c r="M143" i="1" s="1"/>
  <c r="M145" i="1"/>
  <c r="F279" i="1" l="1"/>
  <c r="E279" i="1"/>
  <c r="G194" i="1"/>
  <c r="M192" i="1"/>
  <c r="O192" i="1" s="1"/>
  <c r="G196" i="1" l="1"/>
  <c r="M194" i="1"/>
  <c r="M198" i="1" l="1"/>
  <c r="D280" i="1"/>
  <c r="O194" i="1"/>
  <c r="E280" i="1" l="1"/>
  <c r="F280" i="1"/>
  <c r="M244" i="1"/>
  <c r="M246" i="1" s="1"/>
  <c r="O198" i="1"/>
  <c r="D277" i="1"/>
  <c r="D303" i="1" l="1"/>
  <c r="D330" i="1"/>
  <c r="D273" i="1"/>
  <c r="F277" i="1"/>
  <c r="E277" i="1"/>
  <c r="H277" i="1"/>
  <c r="O246" i="1"/>
  <c r="M248" i="1"/>
  <c r="D286" i="1"/>
  <c r="M249" i="1" l="1"/>
  <c r="D288" i="1" s="1"/>
  <c r="M251" i="1"/>
  <c r="D290" i="1" s="1"/>
  <c r="M256" i="1"/>
  <c r="M254" i="1"/>
  <c r="M250" i="1"/>
  <c r="D289" i="1" s="1"/>
  <c r="M252" i="1"/>
  <c r="D291" i="1" s="1"/>
  <c r="O248" i="1"/>
  <c r="M253" i="1"/>
  <c r="D292" i="1" s="1"/>
  <c r="F330" i="1"/>
  <c r="E330" i="1"/>
  <c r="D308" i="1"/>
  <c r="H286" i="1"/>
  <c r="E286" i="1"/>
  <c r="F286" i="1"/>
  <c r="D333" i="1"/>
  <c r="E273" i="1"/>
  <c r="F273" i="1"/>
  <c r="F292" i="1" l="1"/>
  <c r="E292" i="1"/>
  <c r="F291" i="1"/>
  <c r="E291" i="1"/>
  <c r="F289" i="1"/>
  <c r="E289" i="1"/>
  <c r="O256" i="1"/>
  <c r="M260" i="1"/>
  <c r="O260" i="1" s="1"/>
  <c r="M262" i="1"/>
  <c r="F288" i="1"/>
  <c r="E288" i="1"/>
  <c r="D287" i="1"/>
  <c r="E333" i="1"/>
  <c r="F333" i="1"/>
  <c r="E290" i="1"/>
  <c r="F290" i="1"/>
  <c r="E287" i="1" l="1"/>
  <c r="H287" i="1"/>
  <c r="D307" i="1"/>
  <c r="D334" i="1"/>
  <c r="D335" i="1" s="1"/>
  <c r="F287" i="1"/>
  <c r="D293" i="1"/>
  <c r="H293" i="1" s="1"/>
  <c r="G285" i="1" l="1"/>
  <c r="G332" i="1" s="1"/>
  <c r="E293" i="1"/>
  <c r="G270" i="1"/>
  <c r="F293" i="1"/>
  <c r="G266" i="1"/>
  <c r="G328" i="1" s="1"/>
  <c r="G282" i="1"/>
  <c r="G275" i="1"/>
  <c r="G272" i="1"/>
  <c r="G284" i="1"/>
  <c r="G267" i="1"/>
  <c r="G276" i="1"/>
  <c r="G269" i="1"/>
  <c r="G283" i="1"/>
  <c r="G293" i="1"/>
  <c r="G274" i="1"/>
  <c r="G329" i="1" s="1"/>
  <c r="G268" i="1"/>
  <c r="G271" i="1"/>
  <c r="G281" i="1"/>
  <c r="G331" i="1" s="1"/>
  <c r="G278" i="1"/>
  <c r="G279" i="1"/>
  <c r="G280" i="1"/>
  <c r="G277" i="1"/>
  <c r="G330" i="1" s="1"/>
  <c r="G286" i="1"/>
  <c r="G333" i="1" s="1"/>
  <c r="G273" i="1"/>
  <c r="G288" i="1"/>
  <c r="G289" i="1"/>
  <c r="G292" i="1"/>
  <c r="G291" i="1"/>
  <c r="G290" i="1"/>
  <c r="E334" i="1"/>
  <c r="E335" i="1" s="1"/>
  <c r="F334" i="1"/>
  <c r="F335" i="1" s="1"/>
  <c r="G287" i="1"/>
  <c r="G334" i="1" s="1"/>
  <c r="G3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AD1578-B383-419B-9B1A-538643A53B29}" keepAlive="1" name="Consulta - BD_ANP" description="Conexão com a consulta 'BD_ANP' na pasta de trabalho." type="5" refreshedVersion="8" background="1" saveData="1">
    <dbPr connection="Provider=Microsoft.Mashup.OleDb.1;Data Source=$Workbook$;Location=BD_ANP;Extended Properties=&quot;&quot;" command="SELECT * FROM [BD_ANP]"/>
  </connection>
  <connection id="2" xr16:uid="{87F5DBFA-BDA2-4471-AF42-3290C0877D85}" keepAlive="1" name="Consulta - BD_FrotaSGC" description="Conexão com a consulta 'BD_FrotaSGC' na pasta de trabalho." type="5" refreshedVersion="8" background="1" saveData="1">
    <dbPr connection="Provider=Microsoft.Mashup.OleDb.1;Data Source=$Workbook$;Location=BD_FrotaSGC;Extended Properties=&quot;&quot;" command="SELECT * FROM [BD_FrotaSGC]"/>
  </connection>
</connections>
</file>

<file path=xl/sharedStrings.xml><?xml version="1.0" encoding="utf-8"?>
<sst xmlns="http://schemas.openxmlformats.org/spreadsheetml/2006/main" count="1051" uniqueCount="428">
  <si>
    <t>ANTP 2017</t>
  </si>
  <si>
    <t>Dados Operacionais</t>
  </si>
  <si>
    <t>Microônibus - Sem Ar</t>
  </si>
  <si>
    <t>Midiônibus - Sem Ar</t>
  </si>
  <si>
    <t>Midiônibus - Com Ar</t>
  </si>
  <si>
    <t>Básico - Com Ar</t>
  </si>
  <si>
    <t>Total</t>
  </si>
  <si>
    <t>Coeficiente</t>
  </si>
  <si>
    <t>Mínimo</t>
  </si>
  <si>
    <t>Frota Total</t>
  </si>
  <si>
    <t>Frota Operante</t>
  </si>
  <si>
    <t>PPE</t>
  </si>
  <si>
    <t>PMM (Frota Op)</t>
  </si>
  <si>
    <t>Custos Variáveis</t>
  </si>
  <si>
    <t>CMB</t>
  </si>
  <si>
    <t>Combustível</t>
  </si>
  <si>
    <t>Coeficiente de Consumo</t>
  </si>
  <si>
    <t>Custo Diesel</t>
  </si>
  <si>
    <t>Custo/Km</t>
  </si>
  <si>
    <t>CLB</t>
  </si>
  <si>
    <t>Lubrificantes</t>
  </si>
  <si>
    <t>CAR</t>
  </si>
  <si>
    <t>ARLA 32</t>
  </si>
  <si>
    <t>Custo ARLA 32</t>
  </si>
  <si>
    <t>CRD</t>
  </si>
  <si>
    <t>Rodagem</t>
  </si>
  <si>
    <t>Preço Pneu Novo</t>
  </si>
  <si>
    <t>Preço Recapagem</t>
  </si>
  <si>
    <t>N.º Pneus</t>
  </si>
  <si>
    <t>N.º Recapagens</t>
  </si>
  <si>
    <t>Custo Pneu</t>
  </si>
  <si>
    <t>Custo Recapagem</t>
  </si>
  <si>
    <t>Vida Útil Pneu</t>
  </si>
  <si>
    <t>Custo Rodagem</t>
  </si>
  <si>
    <t>CPA</t>
  </si>
  <si>
    <t>Peças e Acessórios</t>
  </si>
  <si>
    <t>Valor do Veículo Básico</t>
  </si>
  <si>
    <t>CAB</t>
  </si>
  <si>
    <t>Custos Ambientais</t>
  </si>
  <si>
    <t>Total Custo Variável</t>
  </si>
  <si>
    <t>Custo de Capital</t>
  </si>
  <si>
    <t>DVE</t>
  </si>
  <si>
    <t>Depreciação de Veículos</t>
  </si>
  <si>
    <t>Vida Economicamente Útil (anos)</t>
  </si>
  <si>
    <t>Valor Resídual (%)</t>
  </si>
  <si>
    <t>Valor do Veículo</t>
  </si>
  <si>
    <t>Valor do Veículo Sem Rodagem</t>
  </si>
  <si>
    <t>Depreciação (anual)  Frota</t>
  </si>
  <si>
    <t>Depreciação Mensal por Veículo</t>
  </si>
  <si>
    <t>DED</t>
  </si>
  <si>
    <t>Dep. de Edificações, Equip. e Mobiliário de Garagem</t>
  </si>
  <si>
    <t>Coeficiente de Dep. Anual - Edificações</t>
  </si>
  <si>
    <t>Coeficiente de Dep. Anual - Equip. e  Mob. Garagem</t>
  </si>
  <si>
    <t>Capital Investido em Edificações</t>
  </si>
  <si>
    <t>Capital Investido em Mobiliário e Garagem</t>
  </si>
  <si>
    <t>Vida útil das edificações</t>
  </si>
  <si>
    <t>Vida útil dos equipamentos e mobiliário de garagem</t>
  </si>
  <si>
    <t>Taxa de Dep. Linear - Edificações</t>
  </si>
  <si>
    <t>Taxa de Dep. Linear - Equip. e  Mob. Garagem</t>
  </si>
  <si>
    <t>Custo/Veículo</t>
  </si>
  <si>
    <t>DEQ</t>
  </si>
  <si>
    <t>Dep. dos Equip. de Bilhetagem e ITS</t>
  </si>
  <si>
    <t>Coeficiente de Dep. Anual - Equip. de Bilhetagem e ITS</t>
  </si>
  <si>
    <t>Vida Útil dos Equipamentos de Bilhetagem e ITS</t>
  </si>
  <si>
    <t>Capital Investido em Equipamentos de Bilhetagem e ITS</t>
  </si>
  <si>
    <t>Taxa de Dep. Linear - Equipamentos de Bilhetagem e ITS</t>
  </si>
  <si>
    <t>DVA</t>
  </si>
  <si>
    <t>Dep. dos Veículos de Apoio</t>
  </si>
  <si>
    <t>Valor Total Investido</t>
  </si>
  <si>
    <t>Depreciação Mensal</t>
  </si>
  <si>
    <t>DIN</t>
  </si>
  <si>
    <t>Dep. da Infraestrutura</t>
  </si>
  <si>
    <t>Duração do Contrato (anos)</t>
  </si>
  <si>
    <t>Total Depreciação</t>
  </si>
  <si>
    <t>RVE</t>
  </si>
  <si>
    <t>Remuneração da Frota</t>
  </si>
  <si>
    <t>Taxa de Rem. de Capital (TRC)</t>
  </si>
  <si>
    <t>Remuneração (anual) Frota</t>
  </si>
  <si>
    <t>RTE</t>
  </si>
  <si>
    <t>Rem. de Terrenos, Edificações e Equip. de Garagem</t>
  </si>
  <si>
    <t>Coeficiente de Rem. Anual - Terreno</t>
  </si>
  <si>
    <t>Coeficiente de Rem. Anual - Edificações</t>
  </si>
  <si>
    <t>Coeficiente de Rem. Anual - Equip. e Mobiliário de Garag.</t>
  </si>
  <si>
    <t>Taxa de Rem. de Capital (TRC) dos últimos meses</t>
  </si>
  <si>
    <t>RAL</t>
  </si>
  <si>
    <t>Rem. do Almoxarifado</t>
  </si>
  <si>
    <t>Estoque Equivalente (meses)</t>
  </si>
  <si>
    <t>Custo de Peças e Acessórios</t>
  </si>
  <si>
    <t>REQ</t>
  </si>
  <si>
    <t>Rem. dos Equip. de Bilhetagem e ITS</t>
  </si>
  <si>
    <t>Coeficiente de Rem. Anual - Equip. de Bilhetagem e ITS</t>
  </si>
  <si>
    <t>RVA</t>
  </si>
  <si>
    <t>Rem. dos Veículos de Apoio</t>
  </si>
  <si>
    <t>Coeficiente de Rem. - Veículos de Apoio</t>
  </si>
  <si>
    <t>RIN</t>
  </si>
  <si>
    <t>Rem. da infraestrutura</t>
  </si>
  <si>
    <t>Coeficiente de Rem. - Capital Imobilizado</t>
  </si>
  <si>
    <t>Valor Investido em Infraestrutura</t>
  </si>
  <si>
    <t>Total Remuneração</t>
  </si>
  <si>
    <t>Total Custos de Capital</t>
  </si>
  <si>
    <t>SOP</t>
  </si>
  <si>
    <t>Despesas com Pessoal</t>
  </si>
  <si>
    <t>Motoristas</t>
  </si>
  <si>
    <t>FU</t>
  </si>
  <si>
    <t>N.º Colaboradores</t>
  </si>
  <si>
    <t>Salário</t>
  </si>
  <si>
    <t>Encargos</t>
  </si>
  <si>
    <t>Custo Total/Funcionário</t>
  </si>
  <si>
    <t>Cobradores</t>
  </si>
  <si>
    <t>Despachantes</t>
  </si>
  <si>
    <t>Fiscais</t>
  </si>
  <si>
    <t>Custo com Salários - Pessoal de Operação</t>
  </si>
  <si>
    <t>BOP</t>
  </si>
  <si>
    <t>Benefícios</t>
  </si>
  <si>
    <t>FUF</t>
  </si>
  <si>
    <t>DOP</t>
  </si>
  <si>
    <t>Custo com Pessoal de Operação</t>
  </si>
  <si>
    <t>DMA</t>
  </si>
  <si>
    <t>Pessoal Administrativo</t>
  </si>
  <si>
    <t>Total Custos com Pessoal Operacional</t>
  </si>
  <si>
    <t>Despesas Administrativas</t>
  </si>
  <si>
    <t>CDG</t>
  </si>
  <si>
    <t>Despesas Gerais</t>
  </si>
  <si>
    <t>CDS</t>
  </si>
  <si>
    <t>Seguro Obrigatório e Taxa de Licenciamento</t>
  </si>
  <si>
    <t>Valor Seguro Obrigatório/Veículo (ano)</t>
  </si>
  <si>
    <t>Valor Taxa de Licenciamento/Veículo (ano)</t>
  </si>
  <si>
    <t>CDR</t>
  </si>
  <si>
    <t>Seguro de Responsabilidade Civil Facultativo</t>
  </si>
  <si>
    <t>Valor Total (ano)</t>
  </si>
  <si>
    <t>IPVA</t>
  </si>
  <si>
    <t>CCM</t>
  </si>
  <si>
    <t>Outras Despesas Operacionais</t>
  </si>
  <si>
    <t>Total Outros Custos Operacionais</t>
  </si>
  <si>
    <t>Locação</t>
  </si>
  <si>
    <t>CLQ</t>
  </si>
  <si>
    <t>Locação dos Equipamentos e Sistemas de Bilhetagem e ITS</t>
  </si>
  <si>
    <t>Quantidade de Conjuntos de Equip. Locados</t>
  </si>
  <si>
    <t>CLG</t>
  </si>
  <si>
    <t>Locação de Garagem</t>
  </si>
  <si>
    <t>Valor  (mês)</t>
  </si>
  <si>
    <t>CLA</t>
  </si>
  <si>
    <t>Locação de Veículos de Apoio</t>
  </si>
  <si>
    <t>Total Custos Locação</t>
  </si>
  <si>
    <t>Rentabilidade e Custo Tributário</t>
  </si>
  <si>
    <t>Custo Variável</t>
  </si>
  <si>
    <t>Custos Fixos</t>
  </si>
  <si>
    <t>Remuneração pela Prestação dos Serviços</t>
  </si>
  <si>
    <t>Custo Tributário</t>
  </si>
  <si>
    <t>Custo Total</t>
  </si>
  <si>
    <t>IPKe</t>
  </si>
  <si>
    <t>Valor da Tarifa</t>
  </si>
  <si>
    <t>Custos de Capital</t>
  </si>
  <si>
    <t>Depreciação</t>
  </si>
  <si>
    <t>Remuneração</t>
  </si>
  <si>
    <t>ICMS</t>
  </si>
  <si>
    <t>PIS</t>
  </si>
  <si>
    <t>COFINS</t>
  </si>
  <si>
    <t>Fonte</t>
  </si>
  <si>
    <t>Mês Referente:</t>
  </si>
  <si>
    <t>Frota</t>
  </si>
  <si>
    <t xml:space="preserve">Operante </t>
  </si>
  <si>
    <t>Dentro da Vida Útil</t>
  </si>
  <si>
    <t>Km Realizada</t>
  </si>
  <si>
    <t>Passag. Transp.</t>
  </si>
  <si>
    <t>Insumo</t>
  </si>
  <si>
    <t>Coeficiente Diesel</t>
  </si>
  <si>
    <t>Coeficiente Lubrificante</t>
  </si>
  <si>
    <t>Coeficiente ARLA 32</t>
  </si>
  <si>
    <t>Coeficiente Peças e Acessórios</t>
  </si>
  <si>
    <t>Coeficiente de Custos Ambientais</t>
  </si>
  <si>
    <t>Custos de Pessoal</t>
  </si>
  <si>
    <t>FU Motoristas</t>
  </si>
  <si>
    <t>FU Cobrador</t>
  </si>
  <si>
    <t>FU Fiscais/Despachantes</t>
  </si>
  <si>
    <t>FUF Motoristas</t>
  </si>
  <si>
    <t>FUF Cobrador</t>
  </si>
  <si>
    <t>FUF Fiscais/Despachantes</t>
  </si>
  <si>
    <t>Coeficiente Pessoal Man. Adm. e Diretoria</t>
  </si>
  <si>
    <t>Coeficiente Despesas Gerais</t>
  </si>
  <si>
    <t>Vida Útil - Frota</t>
  </si>
  <si>
    <t>Valor Resídual - Frota (%)</t>
  </si>
  <si>
    <t>Valor Residual (%) - Edificações</t>
  </si>
  <si>
    <t>Valor Residual (%) - Equipamentos de Garagem</t>
  </si>
  <si>
    <t>Vida Útil - Edificações</t>
  </si>
  <si>
    <t>Vida Útil - Equipamentos de Garagem</t>
  </si>
  <si>
    <t>Valor Residual (%) - Equipamentos de Bilhetagem e ITS</t>
  </si>
  <si>
    <t>Vida Útil - Equipamentos de Bilhetagem e ITS</t>
  </si>
  <si>
    <t>Núm. de anos do contrato após investimento em Infraestrutura</t>
  </si>
  <si>
    <t>Taxa Selic (%)</t>
  </si>
  <si>
    <t>IPCA Acumulado (%)</t>
  </si>
  <si>
    <t>Estoque Equivalente - Almoxarifado (meses)</t>
  </si>
  <si>
    <t>Tributos</t>
  </si>
  <si>
    <t>ISSQN</t>
  </si>
  <si>
    <t>Taxa de Gerenciamento</t>
  </si>
  <si>
    <t>INSS</t>
  </si>
  <si>
    <t>Remuneração pela Prestação de Serviços</t>
  </si>
  <si>
    <t>Unidade</t>
  </si>
  <si>
    <t>Base de Dados</t>
  </si>
  <si>
    <t>Diesel</t>
  </si>
  <si>
    <t>R$/L</t>
  </si>
  <si>
    <t>R$/Unid.</t>
  </si>
  <si>
    <t>Salário Motorista</t>
  </si>
  <si>
    <t>R$/Func/Mês</t>
  </si>
  <si>
    <t>Salário Cobrador</t>
  </si>
  <si>
    <t>Salário Fiscais/Despachantes</t>
  </si>
  <si>
    <t>Benefícios Motorista</t>
  </si>
  <si>
    <t>Benefícios Cobrador</t>
  </si>
  <si>
    <t>Remun. Diretoria</t>
  </si>
  <si>
    <t>Benefícios Fiscais/Despachantes</t>
  </si>
  <si>
    <t>Seguro Resp. Civil</t>
  </si>
  <si>
    <t>Seguro RCV</t>
  </si>
  <si>
    <t>R$/veículo</t>
  </si>
  <si>
    <t>DPVAT</t>
  </si>
  <si>
    <t>IPVA e Taxa de Licenciam.</t>
  </si>
  <si>
    <t>Licenciamento</t>
  </si>
  <si>
    <t>R$/Mês</t>
  </si>
  <si>
    <t>Valor Veículo</t>
  </si>
  <si>
    <t>Valor Chassi</t>
  </si>
  <si>
    <t>Valor Carroceria</t>
  </si>
  <si>
    <t>Valor investido em Edificações</t>
  </si>
  <si>
    <t>R$</t>
  </si>
  <si>
    <t>Valor investido em Equipamentos de Garagem</t>
  </si>
  <si>
    <t>Valor investido em Bilhetagem Eletrônica e ITS</t>
  </si>
  <si>
    <t>Valor investido em Infraestrutura</t>
  </si>
  <si>
    <t>Valor investido em Terreno</t>
  </si>
  <si>
    <t>Custos de Locação</t>
  </si>
  <si>
    <t>Locação dos Equip. de Bilhetagem e ITS</t>
  </si>
  <si>
    <t>Quantidade de Equip. de Bilhetagem e ITS</t>
  </si>
  <si>
    <t>Unidades</t>
  </si>
  <si>
    <t>Microônibus - Com Ar</t>
  </si>
  <si>
    <t>Básico - Sem Ar</t>
  </si>
  <si>
    <t>Ônibus Padron</t>
  </si>
  <si>
    <t>Veículos de Apoio</t>
  </si>
  <si>
    <t>Idade do veículo</t>
  </si>
  <si>
    <t>Caminhão-oficina</t>
  </si>
  <si>
    <t>Caminhão-guincho</t>
  </si>
  <si>
    <t>Caminhoneta</t>
  </si>
  <si>
    <t>Automóvel (básico)</t>
  </si>
  <si>
    <t>Motocicleta</t>
  </si>
  <si>
    <t>Total Geral:</t>
  </si>
  <si>
    <t>Vida Útil</t>
  </si>
  <si>
    <t>Valor Residual</t>
  </si>
  <si>
    <t>Valor Investimento</t>
  </si>
  <si>
    <t>Taxa de Remuneração</t>
  </si>
  <si>
    <t>Parte 2 Eq.</t>
  </si>
  <si>
    <t>Consumo de Peças e Acessórios</t>
  </si>
  <si>
    <t xml:space="preserve">μ </t>
  </si>
  <si>
    <t>Faixa Etária</t>
  </si>
  <si>
    <t>Consumo PA</t>
  </si>
  <si>
    <r>
      <t>Faixa etária (</t>
    </r>
    <r>
      <rPr>
        <b/>
        <i/>
        <sz val="10"/>
        <color indexed="9"/>
        <rFont val="Calibri"/>
        <family val="2"/>
      </rPr>
      <t>t</t>
    </r>
    <r>
      <rPr>
        <b/>
        <sz val="10"/>
        <color indexed="9"/>
        <rFont val="Calibri"/>
        <family val="2"/>
      </rPr>
      <t>)</t>
    </r>
  </si>
  <si>
    <t>(anos)</t>
  </si>
  <si>
    <t>Coef PA</t>
  </si>
  <si>
    <t>0 a 2 anos</t>
  </si>
  <si>
    <t xml:space="preserve">     0  -  1</t>
  </si>
  <si>
    <t>3 a 4 anos</t>
  </si>
  <si>
    <t xml:space="preserve">     1  -  2</t>
  </si>
  <si>
    <t>5 a 6 anos</t>
  </si>
  <si>
    <t xml:space="preserve">     2  -  3</t>
  </si>
  <si>
    <t>7 a 8 anos</t>
  </si>
  <si>
    <t xml:space="preserve">     3  -  4 </t>
  </si>
  <si>
    <t>9 a 10 anos</t>
  </si>
  <si>
    <t xml:space="preserve">     4  -  5</t>
  </si>
  <si>
    <t>acima de 10 anos</t>
  </si>
  <si>
    <t xml:space="preserve">     5  -  6</t>
  </si>
  <si>
    <t xml:space="preserve">     6  -  7</t>
  </si>
  <si>
    <t xml:space="preserve">     7  -  8</t>
  </si>
  <si>
    <t xml:space="preserve">     8  -  9</t>
  </si>
  <si>
    <t xml:space="preserve">     9  -  10</t>
  </si>
  <si>
    <t xml:space="preserve">   10  -  11</t>
  </si>
  <si>
    <t xml:space="preserve">   11  -  12</t>
  </si>
  <si>
    <t xml:space="preserve">   + de 12</t>
  </si>
  <si>
    <t>Método de Cole</t>
  </si>
  <si>
    <t>Valor Residual:</t>
  </si>
  <si>
    <t>1-Residual</t>
  </si>
  <si>
    <t>Vida Econ. Útil:</t>
  </si>
  <si>
    <t>TRC</t>
  </si>
  <si>
    <t>Vlr Veículo Sem Rodagem:</t>
  </si>
  <si>
    <t>Vlr Veículo</t>
  </si>
  <si>
    <t>Fator de Depreciação Anual - Faixa Etária</t>
  </si>
  <si>
    <t>Fator de Remureção Anual - Faixa Etária</t>
  </si>
  <si>
    <t>λz</t>
  </si>
  <si>
    <t>Quantidade de Veículos</t>
  </si>
  <si>
    <t>aux 1</t>
  </si>
  <si>
    <t>aux 2</t>
  </si>
  <si>
    <t>aux 3</t>
  </si>
  <si>
    <t>Faixa</t>
  </si>
  <si>
    <t>Faixa Etária (anos)</t>
  </si>
  <si>
    <t>0 – 1</t>
  </si>
  <si>
    <t>1 – 2</t>
  </si>
  <si>
    <t>2 – 3</t>
  </si>
  <si>
    <t>3 – 4</t>
  </si>
  <si>
    <t>4 – 5</t>
  </si>
  <si>
    <t>5 – 6</t>
  </si>
  <si>
    <t>6 – 7</t>
  </si>
  <si>
    <t>7 – 8</t>
  </si>
  <si>
    <t>8 – 9</t>
  </si>
  <si>
    <t>9 – 10</t>
  </si>
  <si>
    <t>10 – 11</t>
  </si>
  <si>
    <t>11 – 12</t>
  </si>
  <si>
    <r>
      <t>&gt;</t>
    </r>
    <r>
      <rPr>
        <sz val="9"/>
        <color theme="1"/>
        <rFont val="Arial"/>
        <family val="2"/>
      </rPr>
      <t> 12</t>
    </r>
  </si>
  <si>
    <t>Fator de Depreciação Anual - Qtd Frota</t>
  </si>
  <si>
    <t>Coeficente de Dep.</t>
  </si>
  <si>
    <t>Coeficente de Rem.</t>
  </si>
  <si>
    <t>Fator de Depreciação Anual - Vlr Frota</t>
  </si>
  <si>
    <t>Fator de Remuneração Anual - Vlr Frota</t>
  </si>
  <si>
    <t>Custo Anual Dep. Frota</t>
  </si>
  <si>
    <t>Custo Anual Rem. Frota</t>
  </si>
  <si>
    <t>Custo Anual/ Veiculo</t>
  </si>
  <si>
    <t>Fator de Depreciação Mensal - Vlr Frota</t>
  </si>
  <si>
    <t>Custo Mesal Dep. Frota</t>
  </si>
  <si>
    <t>Custo Mesal Rem. Frota</t>
  </si>
  <si>
    <t>Custo Mensal/ Veiculo</t>
  </si>
  <si>
    <t>Custo Total Mensal</t>
  </si>
  <si>
    <t>-</t>
  </si>
  <si>
    <t>Cotação - Toledo/PR (valor bomba Toledo/PR)</t>
  </si>
  <si>
    <t>Edital - Anexo II - 5. Custos</t>
  </si>
  <si>
    <t>ANP - Levantamento de Preços de Combustíveis, Municipio de Toledo-PR - Coluna Preço Médio de Revenda</t>
  </si>
  <si>
    <t>Pneu Novo 215/75 R17,5</t>
  </si>
  <si>
    <t>Pneu Novo 295/80 R22,5</t>
  </si>
  <si>
    <t>Pneu Novo 275/80 R22,5</t>
  </si>
  <si>
    <t>Recapagem 215/75 R17,5</t>
  </si>
  <si>
    <t>Recapagem 275/80 R22,5</t>
  </si>
  <si>
    <t>Recapagem 295/80 R22,5</t>
  </si>
  <si>
    <t>Sem Ar</t>
  </si>
  <si>
    <t>Com AR</t>
  </si>
  <si>
    <t>Máximo</t>
  </si>
  <si>
    <t>Microônibus</t>
  </si>
  <si>
    <t>Miniônibus</t>
  </si>
  <si>
    <t>Midiônibs</t>
  </si>
  <si>
    <t>Ônibus Básico</t>
  </si>
  <si>
    <t>Ônibus Articulado</t>
  </si>
  <si>
    <t>Ônibus Biarticulado</t>
  </si>
  <si>
    <t>Preço de Mercado: &lt;https://www.guaporepneus.com.br/caminhao-e-onibus/pneu-21575r17-5-bridgestone-dayton-d450z-liso-126124l-12-lonas&gt;</t>
  </si>
  <si>
    <t>Preço de Mercado: &lt;https://www.guaporepneus.com.br/caminhao-e-onibus/pneu-27580r22-5-pirelli-anteo-pro-s-liso-149146m-16-lonas&gt;</t>
  </si>
  <si>
    <t>Preço de Mercado: &lt;https://www.guaporepneus.com.br/caminhao-e-onibus/pneu-29580r22-5-pirelli-anteo-pro-s-liso-152148m-18-lonas&gt;</t>
  </si>
  <si>
    <t>Custo médio de 30% do valor do pneu novo: &lt;http://www.fmpneuspr.com.br/extranet/uploads/Revista/edicao_23_digital_1701266474074.pdf&gt;</t>
  </si>
  <si>
    <t>Cotação com fornecedor</t>
  </si>
  <si>
    <t>Acordo Coletivo de Trabalho 2022-2023</t>
  </si>
  <si>
    <t>12+</t>
  </si>
  <si>
    <t>Remuneração Mensal/Veículo</t>
  </si>
  <si>
    <t>Não há cotação do ônibus Padron, por isso foi utilizado o valor do ônibus Básico - Sem Ar</t>
  </si>
  <si>
    <t>VR + Adicional de cobrança</t>
  </si>
  <si>
    <t>Detran - PR</t>
  </si>
  <si>
    <t>Despesas com serviços prestados aos usuários e controle da operação - Cotação com fornecedor</t>
  </si>
  <si>
    <t>R$/veículo/mês</t>
  </si>
  <si>
    <t>Coeficiente Padron = Básico</t>
  </si>
  <si>
    <t>Edital - Anexo IV</t>
  </si>
  <si>
    <t>Proposta Comercial</t>
  </si>
  <si>
    <t>IBGE</t>
  </si>
  <si>
    <t>Banco Central do Brasil</t>
  </si>
  <si>
    <t>Relação De Frota</t>
  </si>
  <si>
    <t>Relação de Frota</t>
  </si>
  <si>
    <t>Como não há previsão de utilização do Ônibus Padron no Edital, serão utilizados os valores do Ônibus Básico</t>
  </si>
  <si>
    <t>Edital não prevê a utilização de veículos Padron</t>
  </si>
  <si>
    <t>Planilha de Serviços</t>
  </si>
  <si>
    <t>Reoneração da Folha de Pagamento</t>
  </si>
  <si>
    <t>%</t>
  </si>
  <si>
    <t>Metodologia ANTP</t>
  </si>
  <si>
    <t>Relatório de Passageiros</t>
  </si>
  <si>
    <t>Custo</t>
  </si>
  <si>
    <t>Custo/Tarifa</t>
  </si>
  <si>
    <t>Lubrificante</t>
  </si>
  <si>
    <t>Descrição</t>
  </si>
  <si>
    <t>Arla 32</t>
  </si>
  <si>
    <t>Despesas Com Pessoal</t>
  </si>
  <si>
    <t>Pessoal Operacional</t>
  </si>
  <si>
    <t>Seguros e Taxas</t>
  </si>
  <si>
    <t>Remuneração Pela Prestação dos Serviços</t>
  </si>
  <si>
    <t>Anteriormente 2471,4. Alterado para 2582,61 mais 8% de comissão por não haver cobrador</t>
  </si>
  <si>
    <t>Outros Custos Operacionais</t>
  </si>
  <si>
    <t>Rentabilidade</t>
  </si>
  <si>
    <t>Equipamentos</t>
  </si>
  <si>
    <t>Tarifa Técnica</t>
  </si>
  <si>
    <t>Planilha Independente</t>
  </si>
  <si>
    <t>PLANUM</t>
  </si>
  <si>
    <t>IBETA</t>
  </si>
  <si>
    <t>Coeficientes</t>
  </si>
  <si>
    <t>Diferença</t>
  </si>
  <si>
    <t>Valor Médio do Veículo Básico</t>
  </si>
  <si>
    <t>Preço Médio do Veículo</t>
  </si>
  <si>
    <t>Coeficiente diferente</t>
  </si>
  <si>
    <t>Não utiliza o valor do veículo básico</t>
  </si>
  <si>
    <t>Km programada x Km Realizada</t>
  </si>
  <si>
    <t>Frota Total: 42 x 45</t>
  </si>
  <si>
    <t>Frota Operante: 37 x 42</t>
  </si>
  <si>
    <t>Custo com P&amp;A diferente</t>
  </si>
  <si>
    <t>Metodologia diferente</t>
  </si>
  <si>
    <t>TRC de Fevereiro de 2024</t>
  </si>
  <si>
    <t>Adicional de Cobrança como benefício</t>
  </si>
  <si>
    <t>Utiliza valor fixo mensal</t>
  </si>
  <si>
    <t>Valor Despesas Gerais Anual</t>
  </si>
  <si>
    <t>Multiplica o Midiônibus por 34 veículos, mas divide por FT=42</t>
  </si>
  <si>
    <t>Considera 34 veículos Midiônibus</t>
  </si>
  <si>
    <t>3,3% Sobre Valor Médio Ponderado da Frota</t>
  </si>
  <si>
    <t>R$ 71.236,31 / Mês</t>
  </si>
  <si>
    <t>INSS em 2,0% e não 1,0%</t>
  </si>
  <si>
    <t>Valor Anual de Locação de Cada Conjunto de Equip.</t>
  </si>
  <si>
    <t>O coeficiente usado é 4,50, mas não é compatível com a distribuição da frota</t>
  </si>
  <si>
    <t>Não inclui o Adicional de Cobrança no salário</t>
  </si>
  <si>
    <t>10+</t>
  </si>
  <si>
    <t xml:space="preserve">μ Total </t>
  </si>
  <si>
    <t>V2</t>
  </si>
  <si>
    <t>Microônibus - S/ Ar</t>
  </si>
  <si>
    <t>Microônibus - C/ Ar</t>
  </si>
  <si>
    <t>Midiônibus - S/ Ar</t>
  </si>
  <si>
    <t>Midiônibus - C/ Ar</t>
  </si>
  <si>
    <t>Básico - C/ Ar</t>
  </si>
  <si>
    <t>Diferença no Preço do Pneu Novo e Recapagem</t>
  </si>
  <si>
    <t>Diferença no Valor dos Veículos. Não consta os custos com almoxarifado, equipamentos de bilhetagem e veículos de apoio.</t>
  </si>
  <si>
    <t>Diferença na forma de cálculo das DG</t>
  </si>
  <si>
    <t>Diferença no valor de locação da bilhetagem</t>
  </si>
  <si>
    <t>Básico - S/ Ar</t>
  </si>
  <si>
    <t>Custo Corrigido</t>
  </si>
  <si>
    <t>trc, insumos, frotas, ppe, km, valor veiculo</t>
  </si>
  <si>
    <t>Diferença na Taxa de Remuneração de Capital</t>
  </si>
  <si>
    <t>Básico - S/Ar</t>
  </si>
  <si>
    <t>Diesel, Pneus, Arla, TRC, %FT</t>
  </si>
  <si>
    <t>Diferença na Frota Operante</t>
  </si>
  <si>
    <t>Diferença no Valor do Veículo Básico (IBETA: 664.000 e PLANUM: 730.074,32)</t>
  </si>
  <si>
    <t>Diesel, TRC, Km, Salários, pneus, benefícios</t>
  </si>
  <si>
    <t>Diferença entre Km Programada x Km Realizada e Frota Operacional</t>
  </si>
  <si>
    <t>Diferença no coeficiente de combustível do microônibus e básico sem ar e no Preço do Diesel</t>
  </si>
  <si>
    <t xml:space="preserve">Diferença na Frota Operacional </t>
  </si>
  <si>
    <t>Diferença no Percentual dos Encargos</t>
  </si>
  <si>
    <t>Diferença nos Salários e FUF Motoristas</t>
  </si>
  <si>
    <t>PLANUM Corrigido</t>
  </si>
  <si>
    <t>Diferença nos Salários e na Frota Operante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</si>
</sst>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#,##0.0"/>
    <numFmt numFmtId="166" formatCode="&quot;R$&quot;\ #,##0.0000"/>
    <numFmt numFmtId="167" formatCode="#,##0.0000"/>
    <numFmt numFmtId="168" formatCode="&quot;R$&quot;\ 0.0000\ &quot;/l&quot;"/>
    <numFmt numFmtId="169" formatCode="0.00%&quot; sobre custo diesel&quot;"/>
    <numFmt numFmtId="170" formatCode="#,##0.000000"/>
    <numFmt numFmtId="171" formatCode="0.0000"/>
    <numFmt numFmtId="172" formatCode="0.00%&quot;&quot;"/>
    <numFmt numFmtId="173" formatCode="#,##0.0000_ ;\-#,##0.0000\ "/>
    <numFmt numFmtId="174" formatCode="&quot;R$&quot;\ #,##0.00"/>
    <numFmt numFmtId="175" formatCode="0.0%"/>
    <numFmt numFmtId="176" formatCode="0.000%"/>
    <numFmt numFmtId="177" formatCode="0.00%&quot; /ano&quot;"/>
    <numFmt numFmtId="178" formatCode="#,##0.00000"/>
    <numFmt numFmtId="179" formatCode="_-[$R$-416]\ * #,##0.00_-;\-[$R$-416]\ * #,##0.00_-;_-[$R$-416]\ * &quot;-&quot;??_-;_-@_-"/>
    <numFmt numFmtId="180" formatCode="_-&quot;R$&quot;\ * #,##0.00000_-;\-&quot;R$&quot;\ * #,##0.00000_-;_-&quot;R$&quot;\ * &quot;-&quot;?????_-;_-@_-"/>
    <numFmt numFmtId="181" formatCode="0.0%&quot; sobre custo Diesel&quot;"/>
    <numFmt numFmtId="182" formatCode="&quot;R$&quot;\ 0.000&quot;/Km&quot;"/>
    <numFmt numFmtId="183" formatCode="0.0000%"/>
    <numFmt numFmtId="184" formatCode="_-* #,##0.0000000000_-;\-* #,##0.0000000000_-;_-* &quot;-&quot;??_-;_-@_-"/>
    <numFmt numFmtId="185" formatCode="_-* #,##0.00000_-;\-* #,##0.00000_-;_-* &quot;-&quot;??_-;_-@_-"/>
    <numFmt numFmtId="186" formatCode="_-* #,##0.0000_-;\-* #,##0.0000_-;_-* &quot;-&quot;??_-;_-@_-"/>
    <numFmt numFmtId="187" formatCode="0.000"/>
    <numFmt numFmtId="188" formatCode="_(* #,##0.00_);_(* \(#,##0.00\);_(* &quot;-&quot;??_);_(@_)"/>
    <numFmt numFmtId="189" formatCode="#,##0.000"/>
    <numFmt numFmtId="190" formatCode="_-&quot;R$&quot;\ * #,##0.0000_-;\-&quot;R$&quot;\ * #,##0.0000_-;_-&quot;R$&quot;\ * &quot;-&quot;?????_-;_-@_-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MS Sans Serif"/>
      <family val="2"/>
    </font>
    <font>
      <b/>
      <sz val="10"/>
      <color rgb="FFFFFFFF"/>
      <name val="Aptos Narrow"/>
      <family val="2"/>
      <scheme val="minor"/>
    </font>
    <font>
      <sz val="10"/>
      <name val="Arial"/>
      <family val="2"/>
    </font>
    <font>
      <b/>
      <i/>
      <sz val="10"/>
      <color indexed="9"/>
      <name val="Calibri"/>
      <family val="2"/>
    </font>
    <font>
      <b/>
      <sz val="10"/>
      <color indexed="9"/>
      <name val="Calibri"/>
      <family val="2"/>
    </font>
    <font>
      <b/>
      <i/>
      <sz val="10"/>
      <name val="Aptos Narrow"/>
      <family val="2"/>
      <scheme val="minor"/>
    </font>
    <font>
      <i/>
      <sz val="10"/>
      <color theme="0" tint="-0.34998626667073579"/>
      <name val="Aptos Narrow"/>
      <family val="2"/>
      <scheme val="minor"/>
    </font>
    <font>
      <sz val="9"/>
      <color theme="1"/>
      <name val="Arial"/>
      <family val="2"/>
    </font>
    <font>
      <b/>
      <sz val="10"/>
      <name val="Aptos Narrow"/>
      <family val="2"/>
      <scheme val="minor"/>
    </font>
    <font>
      <i/>
      <sz val="10"/>
      <color rgb="FFC00000"/>
      <name val="Aptos Narrow"/>
      <family val="2"/>
      <scheme val="minor"/>
    </font>
    <font>
      <sz val="10"/>
      <color theme="3" tint="0.249977111117893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3" tint="0.249977111117893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9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4272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dotted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theme="0"/>
      </right>
      <top style="dotted">
        <color indexed="64"/>
      </top>
      <bottom style="dotted">
        <color indexed="64"/>
      </bottom>
      <diagonal/>
    </border>
    <border>
      <left style="thick">
        <color theme="0"/>
      </left>
      <right style="thick">
        <color theme="0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theme="0"/>
      </right>
      <top/>
      <bottom style="dotted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theme="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0"/>
      </right>
      <top style="dotted">
        <color indexed="64"/>
      </top>
      <bottom style="dotted">
        <color indexed="64"/>
      </bottom>
      <diagonal/>
    </border>
    <border>
      <left/>
      <right style="medium">
        <color theme="0"/>
      </right>
      <top style="thin">
        <color indexed="64"/>
      </top>
      <bottom style="dotted">
        <color indexed="64"/>
      </bottom>
      <diagonal/>
    </border>
    <border>
      <left style="thick">
        <color theme="0"/>
      </left>
      <right/>
      <top/>
      <bottom style="dotted">
        <color indexed="64"/>
      </bottom>
      <diagonal/>
    </border>
    <border>
      <left/>
      <right style="medium">
        <color theme="0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theme="0"/>
      </right>
      <top style="dotted">
        <color indexed="64"/>
      </top>
      <bottom/>
      <diagonal/>
    </border>
    <border>
      <left style="thick">
        <color theme="0"/>
      </left>
      <right style="thick">
        <color theme="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dotted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188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3">
    <xf numFmtId="0" fontId="0" fillId="0" borderId="0" xfId="0"/>
    <xf numFmtId="0" fontId="5" fillId="0" borderId="0" xfId="0" applyFont="1"/>
    <xf numFmtId="0" fontId="6" fillId="0" borderId="0" xfId="0" applyFont="1"/>
    <xf numFmtId="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" xfId="0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/>
    <xf numFmtId="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3" fontId="8" fillId="0" borderId="0" xfId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0" fillId="0" borderId="5" xfId="0" applyBorder="1"/>
    <xf numFmtId="0" fontId="6" fillId="0" borderId="5" xfId="0" applyFont="1" applyBorder="1"/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6" fontId="0" fillId="0" borderId="0" xfId="0" applyNumberFormat="1"/>
    <xf numFmtId="2" fontId="0" fillId="0" borderId="2" xfId="0" applyNumberForma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" fontId="4" fillId="0" borderId="5" xfId="1" applyNumberFormat="1" applyFont="1" applyFill="1" applyBorder="1" applyAlignment="1">
      <alignment horizontal="center"/>
    </xf>
    <xf numFmtId="4" fontId="4" fillId="0" borderId="0" xfId="0" applyNumberFormat="1" applyFont="1"/>
    <xf numFmtId="4" fontId="4" fillId="0" borderId="6" xfId="1" applyNumberFormat="1" applyFont="1" applyFill="1" applyBorder="1"/>
    <xf numFmtId="0" fontId="9" fillId="0" borderId="0" xfId="0" applyFont="1" applyAlignment="1">
      <alignment horizontal="left" indent="1"/>
    </xf>
    <xf numFmtId="0" fontId="9" fillId="0" borderId="0" xfId="0" applyFont="1"/>
    <xf numFmtId="167" fontId="11" fillId="0" borderId="0" xfId="0" applyNumberFormat="1" applyFont="1" applyAlignment="1">
      <alignment horizontal="center"/>
    </xf>
    <xf numFmtId="4" fontId="9" fillId="0" borderId="0" xfId="0" applyNumberFormat="1" applyFont="1"/>
    <xf numFmtId="4" fontId="9" fillId="0" borderId="7" xfId="0" applyNumberFormat="1" applyFont="1" applyBorder="1"/>
    <xf numFmtId="168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7" fontId="9" fillId="0" borderId="7" xfId="1" applyNumberFormat="1" applyFont="1" applyFill="1" applyBorder="1"/>
    <xf numFmtId="0" fontId="0" fillId="0" borderId="7" xfId="0" applyBorder="1"/>
    <xf numFmtId="4" fontId="4" fillId="0" borderId="5" xfId="1" applyNumberFormat="1" applyFont="1" applyBorder="1" applyAlignment="1">
      <alignment horizontal="center"/>
    </xf>
    <xf numFmtId="0" fontId="4" fillId="0" borderId="0" xfId="0" applyFont="1"/>
    <xf numFmtId="169" fontId="9" fillId="0" borderId="0" xfId="0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1" fontId="11" fillId="0" borderId="0" xfId="1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43" fontId="0" fillId="0" borderId="0" xfId="1" applyFont="1" applyFill="1" applyBorder="1"/>
    <xf numFmtId="4" fontId="12" fillId="0" borderId="0" xfId="0" applyNumberFormat="1" applyFont="1" applyAlignment="1">
      <alignment horizontal="center"/>
    </xf>
    <xf numFmtId="0" fontId="9" fillId="0" borderId="7" xfId="0" applyFont="1" applyBorder="1"/>
    <xf numFmtId="2" fontId="9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67" fontId="9" fillId="0" borderId="7" xfId="0" applyNumberFormat="1" applyFont="1" applyBorder="1"/>
    <xf numFmtId="173" fontId="12" fillId="0" borderId="0" xfId="1" applyNumberFormat="1" applyFont="1" applyBorder="1" applyAlignment="1">
      <alignment horizontal="center"/>
    </xf>
    <xf numFmtId="0" fontId="12" fillId="0" borderId="0" xfId="0" applyFont="1"/>
    <xf numFmtId="171" fontId="13" fillId="0" borderId="0" xfId="0" applyNumberFormat="1" applyFont="1" applyAlignment="1">
      <alignment horizontal="center"/>
    </xf>
    <xf numFmtId="0" fontId="12" fillId="0" borderId="7" xfId="0" applyFont="1" applyBorder="1"/>
    <xf numFmtId="167" fontId="12" fillId="0" borderId="0" xfId="1" applyNumberFormat="1" applyFont="1" applyBorder="1" applyAlignment="1">
      <alignment horizontal="center"/>
    </xf>
    <xf numFmtId="167" fontId="9" fillId="0" borderId="7" xfId="1" applyNumberFormat="1" applyFont="1" applyFill="1" applyBorder="1" applyAlignment="1">
      <alignment horizontal="right"/>
    </xf>
    <xf numFmtId="4" fontId="12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74" fontId="4" fillId="0" borderId="6" xfId="0" applyNumberFormat="1" applyFont="1" applyBorder="1"/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/>
    <xf numFmtId="1" fontId="9" fillId="0" borderId="0" xfId="0" applyNumberFormat="1" applyFont="1" applyAlignment="1">
      <alignment horizontal="center"/>
    </xf>
    <xf numFmtId="10" fontId="9" fillId="0" borderId="0" xfId="3" applyNumberFormat="1" applyFont="1" applyAlignment="1">
      <alignment horizontal="center"/>
    </xf>
    <xf numFmtId="175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76" fontId="9" fillId="0" borderId="0" xfId="3" applyNumberFormat="1" applyFont="1" applyFill="1" applyBorder="1" applyAlignment="1">
      <alignment horizontal="center"/>
    </xf>
    <xf numFmtId="10" fontId="9" fillId="0" borderId="0" xfId="3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left" indent="1"/>
    </xf>
    <xf numFmtId="1" fontId="11" fillId="0" borderId="0" xfId="0" applyNumberFormat="1" applyFont="1" applyAlignment="1">
      <alignment horizontal="center"/>
    </xf>
    <xf numFmtId="1" fontId="9" fillId="0" borderId="0" xfId="3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 indent="1"/>
    </xf>
    <xf numFmtId="2" fontId="9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4" fillId="0" borderId="7" xfId="0" applyNumberFormat="1" applyFont="1" applyBorder="1" applyAlignment="1">
      <alignment horizontal="right"/>
    </xf>
    <xf numFmtId="176" fontId="9" fillId="0" borderId="0" xfId="3" applyNumberFormat="1" applyFont="1" applyBorder="1" applyAlignment="1">
      <alignment horizontal="center"/>
    </xf>
    <xf numFmtId="178" fontId="9" fillId="0" borderId="0" xfId="0" applyNumberFormat="1" applyFont="1" applyAlignment="1">
      <alignment horizontal="center"/>
    </xf>
    <xf numFmtId="10" fontId="9" fillId="0" borderId="0" xfId="3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0" fontId="4" fillId="0" borderId="11" xfId="0" applyFont="1" applyBorder="1"/>
    <xf numFmtId="44" fontId="4" fillId="0" borderId="6" xfId="2" applyFont="1" applyBorder="1"/>
    <xf numFmtId="0" fontId="0" fillId="0" borderId="12" xfId="0" applyBorder="1"/>
    <xf numFmtId="43" fontId="0" fillId="0" borderId="2" xfId="1" applyFont="1" applyFill="1" applyBorder="1"/>
    <xf numFmtId="1" fontId="9" fillId="0" borderId="7" xfId="0" applyNumberFormat="1" applyFont="1" applyBorder="1"/>
    <xf numFmtId="43" fontId="9" fillId="0" borderId="0" xfId="1" applyFont="1" applyBorder="1"/>
    <xf numFmtId="4" fontId="12" fillId="0" borderId="0" xfId="1" applyNumberFormat="1" applyFont="1" applyFill="1" applyBorder="1" applyAlignment="1">
      <alignment horizontal="center"/>
    </xf>
    <xf numFmtId="0" fontId="14" fillId="0" borderId="11" xfId="0" applyFont="1" applyBorder="1"/>
    <xf numFmtId="0" fontId="15" fillId="0" borderId="5" xfId="0" applyFont="1" applyBorder="1"/>
    <xf numFmtId="4" fontId="14" fillId="0" borderId="5" xfId="1" applyNumberFormat="1" applyFont="1" applyFill="1" applyBorder="1" applyAlignment="1">
      <alignment horizontal="center"/>
    </xf>
    <xf numFmtId="0" fontId="14" fillId="0" borderId="0" xfId="0" applyFont="1"/>
    <xf numFmtId="4" fontId="14" fillId="0" borderId="6" xfId="1" applyNumberFormat="1" applyFont="1" applyFill="1" applyBorder="1"/>
    <xf numFmtId="0" fontId="11" fillId="0" borderId="8" xfId="0" applyFont="1" applyBorder="1" applyAlignment="1">
      <alignment horizontal="left" indent="1"/>
    </xf>
    <xf numFmtId="0" fontId="15" fillId="0" borderId="0" xfId="0" applyFont="1"/>
    <xf numFmtId="4" fontId="16" fillId="0" borderId="0" xfId="1" applyNumberFormat="1" applyFont="1" applyFill="1" applyBorder="1" applyAlignment="1">
      <alignment horizontal="center"/>
    </xf>
    <xf numFmtId="4" fontId="14" fillId="0" borderId="7" xfId="1" applyNumberFormat="1" applyFont="1" applyFill="1" applyBorder="1"/>
    <xf numFmtId="0" fontId="11" fillId="0" borderId="8" xfId="0" applyFont="1" applyBorder="1" applyAlignment="1">
      <alignment horizontal="left" indent="2"/>
    </xf>
    <xf numFmtId="4" fontId="11" fillId="0" borderId="0" xfId="1" applyNumberFormat="1" applyFont="1" applyFill="1" applyBorder="1" applyAlignment="1">
      <alignment horizontal="center"/>
    </xf>
    <xf numFmtId="4" fontId="6" fillId="0" borderId="0" xfId="0" applyNumberFormat="1" applyFont="1"/>
    <xf numFmtId="167" fontId="13" fillId="0" borderId="0" xfId="1" applyNumberFormat="1" applyFont="1" applyFill="1" applyBorder="1" applyAlignment="1">
      <alignment horizontal="center"/>
    </xf>
    <xf numFmtId="0" fontId="13" fillId="0" borderId="0" xfId="0" applyFont="1"/>
    <xf numFmtId="0" fontId="13" fillId="0" borderId="7" xfId="0" applyFont="1" applyBorder="1"/>
    <xf numFmtId="0" fontId="11" fillId="0" borderId="0" xfId="0" applyFont="1"/>
    <xf numFmtId="2" fontId="13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7" xfId="0" applyNumberFormat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textRotation="90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8" xfId="0" applyFont="1" applyBorder="1"/>
    <xf numFmtId="4" fontId="0" fillId="0" borderId="5" xfId="0" applyNumberFormat="1" applyBorder="1" applyAlignment="1">
      <alignment horizontal="center"/>
    </xf>
    <xf numFmtId="44" fontId="4" fillId="0" borderId="6" xfId="2" applyFont="1" applyBorder="1" applyAlignment="1">
      <alignment horizontal="center"/>
    </xf>
    <xf numFmtId="175" fontId="0" fillId="0" borderId="2" xfId="0" applyNumberFormat="1" applyBorder="1"/>
    <xf numFmtId="179" fontId="0" fillId="0" borderId="3" xfId="2" applyNumberFormat="1" applyFont="1" applyFill="1" applyBorder="1"/>
    <xf numFmtId="43" fontId="0" fillId="0" borderId="0" xfId="1" applyFont="1" applyBorder="1"/>
    <xf numFmtId="179" fontId="0" fillId="0" borderId="7" xfId="2" applyNumberFormat="1" applyFont="1" applyFill="1" applyBorder="1"/>
    <xf numFmtId="43" fontId="0" fillId="0" borderId="0" xfId="0" applyNumberFormat="1"/>
    <xf numFmtId="10" fontId="9" fillId="0" borderId="0" xfId="3" applyNumberFormat="1" applyFont="1" applyFill="1" applyAlignment="1">
      <alignment horizontal="center"/>
    </xf>
    <xf numFmtId="10" fontId="6" fillId="0" borderId="0" xfId="0" applyNumberFormat="1" applyFont="1" applyAlignment="1">
      <alignment horizontal="center"/>
    </xf>
    <xf numFmtId="10" fontId="9" fillId="0" borderId="0" xfId="0" applyNumberFormat="1" applyFont="1"/>
    <xf numFmtId="44" fontId="9" fillId="0" borderId="7" xfId="0" applyNumberFormat="1" applyFont="1" applyBorder="1"/>
    <xf numFmtId="44" fontId="4" fillId="0" borderId="6" xfId="0" applyNumberFormat="1" applyFont="1" applyBorder="1"/>
    <xf numFmtId="0" fontId="7" fillId="0" borderId="0" xfId="0" applyFont="1" applyAlignment="1">
      <alignment horizontal="center" vertical="center" textRotation="90"/>
    </xf>
    <xf numFmtId="44" fontId="4" fillId="0" borderId="0" xfId="0" applyNumberFormat="1" applyFont="1"/>
    <xf numFmtId="4" fontId="18" fillId="0" borderId="0" xfId="0" applyNumberFormat="1" applyFont="1" applyAlignment="1">
      <alignment horizontal="center"/>
    </xf>
    <xf numFmtId="14" fontId="0" fillId="0" borderId="0" xfId="0" applyNumberFormat="1"/>
    <xf numFmtId="0" fontId="9" fillId="0" borderId="16" xfId="0" applyFont="1" applyBorder="1" applyAlignment="1">
      <alignment horizontal="left" indent="1"/>
    </xf>
    <xf numFmtId="3" fontId="9" fillId="0" borderId="17" xfId="0" applyNumberFormat="1" applyFont="1" applyBorder="1" applyAlignment="1">
      <alignment horizontal="center"/>
    </xf>
    <xf numFmtId="3" fontId="9" fillId="4" borderId="18" xfId="0" applyNumberFormat="1" applyFont="1" applyFill="1" applyBorder="1"/>
    <xf numFmtId="0" fontId="9" fillId="0" borderId="19" xfId="0" applyFont="1" applyBorder="1" applyAlignment="1">
      <alignment horizontal="left" indent="1"/>
    </xf>
    <xf numFmtId="3" fontId="9" fillId="0" borderId="20" xfId="0" applyNumberFormat="1" applyFont="1" applyBorder="1" applyAlignment="1">
      <alignment horizontal="center"/>
    </xf>
    <xf numFmtId="0" fontId="9" fillId="4" borderId="21" xfId="0" applyFont="1" applyFill="1" applyBorder="1"/>
    <xf numFmtId="0" fontId="3" fillId="0" borderId="0" xfId="0" applyFont="1"/>
    <xf numFmtId="0" fontId="9" fillId="0" borderId="22" xfId="0" applyFont="1" applyBorder="1" applyAlignment="1">
      <alignment horizontal="left" indent="1"/>
    </xf>
    <xf numFmtId="0" fontId="0" fillId="0" borderId="23" xfId="0" applyBorder="1"/>
    <xf numFmtId="4" fontId="0" fillId="0" borderId="24" xfId="0" applyNumberFormat="1" applyBorder="1"/>
    <xf numFmtId="4" fontId="0" fillId="0" borderId="23" xfId="0" applyNumberFormat="1" applyBorder="1"/>
    <xf numFmtId="0" fontId="12" fillId="4" borderId="0" xfId="0" applyFont="1" applyFill="1"/>
    <xf numFmtId="0" fontId="4" fillId="0" borderId="25" xfId="0" applyFont="1" applyBorder="1"/>
    <xf numFmtId="4" fontId="9" fillId="0" borderId="2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9" fillId="0" borderId="5" xfId="0" applyNumberFormat="1" applyFont="1" applyBorder="1"/>
    <xf numFmtId="0" fontId="9" fillId="0" borderId="23" xfId="0" applyFont="1" applyBorder="1"/>
    <xf numFmtId="0" fontId="9" fillId="0" borderId="5" xfId="0" applyFont="1" applyBorder="1"/>
    <xf numFmtId="4" fontId="2" fillId="3" borderId="27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9" fillId="0" borderId="17" xfId="0" applyNumberFormat="1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0" xfId="0" applyAlignment="1">
      <alignment horizontal="left"/>
    </xf>
    <xf numFmtId="4" fontId="6" fillId="0" borderId="5" xfId="0" applyNumberFormat="1" applyFont="1" applyBorder="1" applyAlignment="1">
      <alignment horizontal="left" vertical="center"/>
    </xf>
    <xf numFmtId="10" fontId="9" fillId="0" borderId="29" xfId="3" applyNumberFormat="1" applyFont="1" applyFill="1" applyBorder="1" applyAlignment="1">
      <alignment horizontal="left"/>
    </xf>
    <xf numFmtId="4" fontId="9" fillId="0" borderId="21" xfId="0" applyNumberFormat="1" applyFont="1" applyBorder="1" applyAlignment="1">
      <alignment horizontal="center"/>
    </xf>
    <xf numFmtId="182" fontId="9" fillId="0" borderId="0" xfId="1" applyNumberFormat="1" applyFont="1"/>
    <xf numFmtId="4" fontId="6" fillId="0" borderId="0" xfId="0" applyNumberFormat="1" applyFont="1" applyAlignment="1">
      <alignment horizontal="left" vertical="center"/>
    </xf>
    <xf numFmtId="0" fontId="9" fillId="0" borderId="22" xfId="0" applyFont="1" applyBorder="1" applyAlignment="1">
      <alignment horizontal="left" indent="2"/>
    </xf>
    <xf numFmtId="183" fontId="0" fillId="0" borderId="0" xfId="0" applyNumberFormat="1"/>
    <xf numFmtId="4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18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right"/>
    </xf>
    <xf numFmtId="14" fontId="12" fillId="0" borderId="0" xfId="0" applyNumberFormat="1" applyFont="1"/>
    <xf numFmtId="0" fontId="9" fillId="0" borderId="35" xfId="0" applyFont="1" applyBorder="1" applyAlignment="1">
      <alignment horizontal="center"/>
    </xf>
    <xf numFmtId="8" fontId="12" fillId="0" borderId="0" xfId="0" applyNumberFormat="1" applyFont="1"/>
    <xf numFmtId="0" fontId="11" fillId="0" borderId="0" xfId="0" applyFont="1" applyAlignment="1">
      <alignment horizontal="left"/>
    </xf>
    <xf numFmtId="4" fontId="9" fillId="0" borderId="37" xfId="0" applyNumberFormat="1" applyFont="1" applyBorder="1" applyAlignment="1">
      <alignment horizontal="center"/>
    </xf>
    <xf numFmtId="0" fontId="19" fillId="0" borderId="0" xfId="0" applyFont="1"/>
    <xf numFmtId="4" fontId="9" fillId="0" borderId="29" xfId="0" applyNumberFormat="1" applyFont="1" applyBorder="1" applyAlignment="1">
      <alignment horizontal="center"/>
    </xf>
    <xf numFmtId="0" fontId="21" fillId="0" borderId="0" xfId="0" applyFont="1"/>
    <xf numFmtId="0" fontId="22" fillId="5" borderId="38" xfId="0" applyFont="1" applyFill="1" applyBorder="1" applyAlignment="1">
      <alignment horizontal="center"/>
    </xf>
    <xf numFmtId="0" fontId="22" fillId="5" borderId="39" xfId="0" applyFont="1" applyFill="1" applyBorder="1" applyAlignment="1">
      <alignment horizontal="center"/>
    </xf>
    <xf numFmtId="0" fontId="22" fillId="5" borderId="39" xfId="0" applyFont="1" applyFill="1" applyBorder="1" applyAlignment="1">
      <alignment horizontal="left"/>
    </xf>
    <xf numFmtId="0" fontId="22" fillId="5" borderId="40" xfId="0" applyFont="1" applyFill="1" applyBorder="1" applyAlignment="1">
      <alignment horizontal="center"/>
    </xf>
    <xf numFmtId="3" fontId="13" fillId="2" borderId="10" xfId="4" applyNumberFormat="1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12" fillId="2" borderId="0" xfId="0" applyNumberFormat="1" applyFont="1" applyFill="1" applyAlignment="1">
      <alignment horizontal="center"/>
    </xf>
    <xf numFmtId="9" fontId="12" fillId="2" borderId="10" xfId="0" applyNumberFormat="1" applyFont="1" applyFill="1" applyBorder="1" applyAlignment="1">
      <alignment horizontal="center"/>
    </xf>
    <xf numFmtId="164" fontId="12" fillId="2" borderId="10" xfId="1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left"/>
    </xf>
    <xf numFmtId="0" fontId="22" fillId="7" borderId="40" xfId="0" applyFont="1" applyFill="1" applyBorder="1" applyAlignment="1">
      <alignment horizontal="center"/>
    </xf>
    <xf numFmtId="0" fontId="22" fillId="5" borderId="41" xfId="0" applyFont="1" applyFill="1" applyBorder="1" applyAlignment="1">
      <alignment horizontal="center"/>
    </xf>
    <xf numFmtId="9" fontId="13" fillId="8" borderId="42" xfId="5" applyNumberFormat="1" applyFont="1" applyFill="1" applyBorder="1" applyAlignment="1" applyProtection="1">
      <alignment horizontal="center" vertical="center" wrapText="1"/>
      <protection locked="0"/>
    </xf>
    <xf numFmtId="0" fontId="13" fillId="2" borderId="10" xfId="4" quotePrefix="1" applyFont="1" applyFill="1" applyBorder="1" applyProtection="1">
      <protection hidden="1"/>
    </xf>
    <xf numFmtId="9" fontId="13" fillId="2" borderId="10" xfId="3" quotePrefix="1" applyFont="1" applyFill="1" applyBorder="1" applyAlignment="1" applyProtection="1">
      <alignment horizontal="center"/>
      <protection hidden="1"/>
    </xf>
    <xf numFmtId="4" fontId="13" fillId="2" borderId="10" xfId="4" applyNumberFormat="1" applyFont="1" applyFill="1" applyBorder="1" applyAlignment="1" applyProtection="1">
      <alignment horizontal="center"/>
      <protection hidden="1"/>
    </xf>
    <xf numFmtId="0" fontId="13" fillId="2" borderId="10" xfId="4" applyFont="1" applyFill="1" applyBorder="1" applyProtection="1">
      <protection hidden="1"/>
    </xf>
    <xf numFmtId="9" fontId="13" fillId="2" borderId="10" xfId="3" applyFont="1" applyFill="1" applyBorder="1" applyAlignment="1" applyProtection="1">
      <alignment horizontal="center"/>
      <protection hidden="1"/>
    </xf>
    <xf numFmtId="0" fontId="13" fillId="4" borderId="10" xfId="4" quotePrefix="1" applyFont="1" applyFill="1" applyBorder="1" applyProtection="1">
      <protection hidden="1"/>
    </xf>
    <xf numFmtId="0" fontId="20" fillId="3" borderId="0" xfId="0" applyFont="1" applyFill="1"/>
    <xf numFmtId="0" fontId="0" fillId="3" borderId="0" xfId="0" applyFill="1"/>
    <xf numFmtId="0" fontId="29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84" fontId="0" fillId="2" borderId="10" xfId="1" applyNumberFormat="1" applyFont="1" applyFill="1" applyBorder="1"/>
    <xf numFmtId="185" fontId="0" fillId="2" borderId="10" xfId="1" applyNumberFormat="1" applyFont="1" applyFill="1" applyBorder="1"/>
    <xf numFmtId="186" fontId="0" fillId="2" borderId="10" xfId="1" applyNumberFormat="1" applyFont="1" applyFill="1" applyBorder="1"/>
    <xf numFmtId="186" fontId="0" fillId="0" borderId="0" xfId="0" applyNumberFormat="1"/>
    <xf numFmtId="43" fontId="0" fillId="2" borderId="10" xfId="1" applyFont="1" applyFill="1" applyBorder="1"/>
    <xf numFmtId="0" fontId="12" fillId="0" borderId="0" xfId="0" applyFont="1" applyAlignment="1">
      <alignment horizontal="right"/>
    </xf>
    <xf numFmtId="43" fontId="0" fillId="0" borderId="0" xfId="1" applyFont="1"/>
    <xf numFmtId="0" fontId="18" fillId="0" borderId="0" xfId="0" applyFont="1" applyAlignment="1">
      <alignment horizontal="right"/>
    </xf>
    <xf numFmtId="43" fontId="4" fillId="0" borderId="0" xfId="0" applyNumberFormat="1" applyFont="1"/>
    <xf numFmtId="4" fontId="9" fillId="0" borderId="18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left"/>
    </xf>
    <xf numFmtId="4" fontId="9" fillId="0" borderId="21" xfId="0" applyNumberFormat="1" applyFont="1" applyBorder="1" applyAlignment="1">
      <alignment horizontal="center" vertical="center"/>
    </xf>
    <xf numFmtId="4" fontId="11" fillId="0" borderId="35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4" fillId="9" borderId="42" xfId="0" applyFont="1" applyFill="1" applyBorder="1" applyAlignment="1">
      <alignment horizontal="center"/>
    </xf>
    <xf numFmtId="0" fontId="0" fillId="0" borderId="42" xfId="0" applyBorder="1" applyAlignment="1">
      <alignment horizontal="left" indent="1"/>
    </xf>
    <xf numFmtId="187" fontId="0" fillId="0" borderId="42" xfId="0" applyNumberFormat="1" applyBorder="1" applyAlignment="1">
      <alignment horizontal="center"/>
    </xf>
    <xf numFmtId="187" fontId="0" fillId="0" borderId="0" xfId="0" applyNumberFormat="1" applyAlignment="1">
      <alignment horizontal="center"/>
    </xf>
    <xf numFmtId="4" fontId="9" fillId="0" borderId="35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 vertical="center"/>
    </xf>
    <xf numFmtId="4" fontId="9" fillId="0" borderId="29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4" fontId="31" fillId="4" borderId="10" xfId="4" quotePrefix="1" applyNumberFormat="1" applyFont="1" applyFill="1" applyBorder="1" applyAlignment="1" applyProtection="1">
      <alignment horizontal="center"/>
      <protection hidden="1"/>
    </xf>
    <xf numFmtId="4" fontId="31" fillId="4" borderId="10" xfId="4" applyNumberFormat="1" applyFont="1" applyFill="1" applyBorder="1" applyAlignment="1" applyProtection="1">
      <alignment horizontal="center"/>
      <protection hidden="1"/>
    </xf>
    <xf numFmtId="9" fontId="0" fillId="10" borderId="0" xfId="0" applyNumberFormat="1" applyFill="1" applyAlignment="1">
      <alignment horizontal="center"/>
    </xf>
    <xf numFmtId="10" fontId="0" fillId="10" borderId="0" xfId="0" applyNumberFormat="1" applyFill="1" applyAlignment="1">
      <alignment horizontal="center"/>
    </xf>
    <xf numFmtId="4" fontId="12" fillId="10" borderId="0" xfId="1" applyNumberFormat="1" applyFont="1" applyFill="1" applyAlignment="1">
      <alignment horizontal="center"/>
    </xf>
    <xf numFmtId="9" fontId="0" fillId="10" borderId="0" xfId="3" applyFont="1" applyFill="1" applyAlignment="1">
      <alignment horizontal="center"/>
    </xf>
    <xf numFmtId="0" fontId="4" fillId="10" borderId="10" xfId="0" applyFont="1" applyFill="1" applyBorder="1" applyAlignment="1">
      <alignment horizontal="center"/>
    </xf>
    <xf numFmtId="3" fontId="0" fillId="10" borderId="10" xfId="1" applyNumberFormat="1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10" fontId="9" fillId="0" borderId="16" xfId="0" applyNumberFormat="1" applyFont="1" applyBorder="1" applyAlignment="1">
      <alignment horizontal="left"/>
    </xf>
    <xf numFmtId="10" fontId="9" fillId="0" borderId="21" xfId="0" applyNumberFormat="1" applyFont="1" applyBorder="1" applyAlignment="1">
      <alignment horizontal="left"/>
    </xf>
    <xf numFmtId="1" fontId="0" fillId="10" borderId="0" xfId="0" applyNumberFormat="1" applyFill="1" applyAlignment="1">
      <alignment horizontal="center"/>
    </xf>
    <xf numFmtId="0" fontId="12" fillId="10" borderId="10" xfId="0" applyFont="1" applyFill="1" applyBorder="1" applyAlignment="1">
      <alignment horizontal="center"/>
    </xf>
    <xf numFmtId="4" fontId="12" fillId="10" borderId="10" xfId="1" applyNumberFormat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4" fontId="2" fillId="3" borderId="13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2" fillId="3" borderId="43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/>
    </xf>
    <xf numFmtId="4" fontId="2" fillId="3" borderId="13" xfId="0" applyNumberFormat="1" applyFont="1" applyFill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4" fontId="9" fillId="0" borderId="25" xfId="0" applyNumberFormat="1" applyFont="1" applyBorder="1" applyAlignment="1">
      <alignment horizontal="center"/>
    </xf>
    <xf numFmtId="0" fontId="2" fillId="3" borderId="43" xfId="0" applyFont="1" applyFill="1" applyBorder="1"/>
    <xf numFmtId="4" fontId="2" fillId="3" borderId="27" xfId="0" applyNumberFormat="1" applyFont="1" applyFill="1" applyBorder="1" applyAlignment="1">
      <alignment horizontal="center"/>
    </xf>
    <xf numFmtId="4" fontId="0" fillId="0" borderId="26" xfId="0" applyNumberFormat="1" applyBorder="1"/>
    <xf numFmtId="0" fontId="9" fillId="0" borderId="24" xfId="0" applyFont="1" applyBorder="1"/>
    <xf numFmtId="0" fontId="0" fillId="0" borderId="24" xfId="0" applyBorder="1"/>
    <xf numFmtId="4" fontId="2" fillId="3" borderId="43" xfId="0" applyNumberFormat="1" applyFont="1" applyFill="1" applyBorder="1" applyAlignment="1">
      <alignment horizontal="center"/>
    </xf>
    <xf numFmtId="4" fontId="0" fillId="0" borderId="25" xfId="0" applyNumberFormat="1" applyBorder="1"/>
    <xf numFmtId="0" fontId="0" fillId="4" borderId="5" xfId="0" applyFill="1" applyBorder="1"/>
    <xf numFmtId="0" fontId="0" fillId="4" borderId="26" xfId="0" applyFill="1" applyBorder="1" applyAlignment="1">
      <alignment horizontal="center"/>
    </xf>
    <xf numFmtId="3" fontId="9" fillId="4" borderId="20" xfId="0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3" borderId="43" xfId="0" applyFont="1" applyFill="1" applyBorder="1" applyAlignment="1">
      <alignment horizontal="left" vertical="center" wrapText="1"/>
    </xf>
    <xf numFmtId="0" fontId="0" fillId="0" borderId="36" xfId="0" applyBorder="1"/>
    <xf numFmtId="0" fontId="9" fillId="0" borderId="23" xfId="0" applyFont="1" applyBorder="1" applyAlignment="1">
      <alignment horizontal="left" indent="1"/>
    </xf>
    <xf numFmtId="0" fontId="9" fillId="0" borderId="36" xfId="0" applyFont="1" applyBorder="1" applyAlignment="1">
      <alignment horizontal="left" indent="1"/>
    </xf>
    <xf numFmtId="0" fontId="9" fillId="0" borderId="37" xfId="0" applyFont="1" applyBorder="1" applyAlignment="1">
      <alignment horizontal="center"/>
    </xf>
    <xf numFmtId="3" fontId="9" fillId="0" borderId="37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10" fontId="9" fillId="0" borderId="37" xfId="3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167" fontId="11" fillId="0" borderId="19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0" fontId="9" fillId="0" borderId="19" xfId="3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9" fillId="0" borderId="4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2" xfId="0" applyFont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7" fontId="11" fillId="0" borderId="17" xfId="0" applyNumberFormat="1" applyFont="1" applyBorder="1" applyAlignment="1">
      <alignment horizontal="centerContinuous" vertical="center"/>
    </xf>
    <xf numFmtId="4" fontId="9" fillId="0" borderId="37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Continuous"/>
    </xf>
    <xf numFmtId="4" fontId="9" fillId="0" borderId="24" xfId="0" applyNumberFormat="1" applyFont="1" applyBorder="1" applyAlignment="1">
      <alignment horizontal="centerContinuous"/>
    </xf>
    <xf numFmtId="4" fontId="9" fillId="0" borderId="46" xfId="0" applyNumberFormat="1" applyFont="1" applyBorder="1" applyAlignment="1">
      <alignment horizontal="centerContinuous"/>
    </xf>
    <xf numFmtId="4" fontId="9" fillId="0" borderId="37" xfId="0" applyNumberFormat="1" applyFont="1" applyBorder="1" applyAlignment="1">
      <alignment horizontal="centerContinuous"/>
    </xf>
    <xf numFmtId="4" fontId="9" fillId="0" borderId="20" xfId="0" applyNumberFormat="1" applyFont="1" applyBorder="1" applyAlignment="1">
      <alignment horizontal="center"/>
    </xf>
    <xf numFmtId="4" fontId="9" fillId="0" borderId="20" xfId="0" applyNumberFormat="1" applyFont="1" applyBorder="1" applyAlignment="1">
      <alignment horizontal="centerContinuous"/>
    </xf>
    <xf numFmtId="3" fontId="9" fillId="0" borderId="37" xfId="0" applyNumberFormat="1" applyFont="1" applyBorder="1" applyAlignment="1">
      <alignment horizontal="centerContinuous"/>
    </xf>
    <xf numFmtId="0" fontId="9" fillId="0" borderId="37" xfId="0" applyFont="1" applyBorder="1" applyAlignment="1">
      <alignment horizontal="centerContinuous"/>
    </xf>
    <xf numFmtId="0" fontId="9" fillId="0" borderId="37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46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4" fontId="2" fillId="3" borderId="27" xfId="0" applyNumberFormat="1" applyFont="1" applyFill="1" applyBorder="1" applyAlignment="1">
      <alignment horizontal="center" vertical="center"/>
    </xf>
    <xf numFmtId="4" fontId="0" fillId="0" borderId="26" xfId="0" applyNumberFormat="1" applyBorder="1" applyAlignment="1">
      <alignment horizontal="center"/>
    </xf>
    <xf numFmtId="164" fontId="9" fillId="0" borderId="37" xfId="1" applyNumberFormat="1" applyFont="1" applyBorder="1" applyAlignment="1">
      <alignment horizontal="centerContinuous" vertical="center"/>
    </xf>
    <xf numFmtId="164" fontId="9" fillId="0" borderId="37" xfId="1" applyNumberFormat="1" applyFont="1" applyFill="1" applyBorder="1" applyAlignment="1">
      <alignment horizontal="centerContinuous" vertical="center"/>
    </xf>
    <xf numFmtId="164" fontId="11" fillId="0" borderId="37" xfId="1" applyNumberFormat="1" applyFont="1" applyFill="1" applyBorder="1" applyAlignment="1">
      <alignment horizontal="centerContinuous" vertical="center"/>
    </xf>
    <xf numFmtId="4" fontId="0" fillId="0" borderId="24" xfId="0" applyNumberForma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164" fontId="9" fillId="0" borderId="17" xfId="1" applyNumberFormat="1" applyFont="1" applyBorder="1" applyAlignment="1">
      <alignment horizontal="centerContinuous" vertical="center"/>
    </xf>
    <xf numFmtId="4" fontId="6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45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32" fillId="0" borderId="0" xfId="0" applyFont="1"/>
    <xf numFmtId="10" fontId="9" fillId="0" borderId="18" xfId="0" applyNumberFormat="1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wrapText="1"/>
    </xf>
    <xf numFmtId="4" fontId="9" fillId="0" borderId="29" xfId="0" applyNumberFormat="1" applyFont="1" applyBorder="1" applyAlignment="1">
      <alignment horizontal="center" vertical="center" wrapText="1"/>
    </xf>
    <xf numFmtId="4" fontId="33" fillId="0" borderId="0" xfId="0" applyNumberFormat="1" applyFont="1" applyAlignment="1">
      <alignment horizontal="right"/>
    </xf>
    <xf numFmtId="3" fontId="9" fillId="0" borderId="21" xfId="0" applyNumberFormat="1" applyFont="1" applyBorder="1"/>
    <xf numFmtId="0" fontId="4" fillId="0" borderId="14" xfId="0" applyFont="1" applyBorder="1"/>
    <xf numFmtId="0" fontId="4" fillId="0" borderId="13" xfId="0" applyFont="1" applyBorder="1"/>
    <xf numFmtId="171" fontId="4" fillId="0" borderId="15" xfId="0" applyNumberFormat="1" applyFont="1" applyBorder="1"/>
    <xf numFmtId="0" fontId="0" fillId="0" borderId="13" xfId="0" applyBorder="1"/>
    <xf numFmtId="180" fontId="14" fillId="0" borderId="0" xfId="0" applyNumberFormat="1" applyFont="1"/>
    <xf numFmtId="44" fontId="4" fillId="0" borderId="15" xfId="0" applyNumberFormat="1" applyFont="1" applyBorder="1"/>
    <xf numFmtId="0" fontId="36" fillId="12" borderId="0" xfId="0" applyFont="1" applyFill="1"/>
    <xf numFmtId="0" fontId="34" fillId="11" borderId="0" xfId="0" applyFont="1" applyFill="1" applyAlignment="1">
      <alignment horizontal="center"/>
    </xf>
    <xf numFmtId="4" fontId="36" fillId="12" borderId="0" xfId="0" applyNumberFormat="1" applyFont="1" applyFill="1"/>
    <xf numFmtId="171" fontId="36" fillId="12" borderId="0" xfId="0" applyNumberFormat="1" applyFont="1" applyFill="1"/>
    <xf numFmtId="171" fontId="0" fillId="0" borderId="0" xfId="0" applyNumberFormat="1"/>
    <xf numFmtId="0" fontId="38" fillId="0" borderId="0" xfId="0" applyFont="1"/>
    <xf numFmtId="0" fontId="35" fillId="2" borderId="0" xfId="0" applyFont="1" applyFill="1" applyAlignment="1">
      <alignment horizontal="left" indent="1"/>
    </xf>
    <xf numFmtId="4" fontId="35" fillId="2" borderId="0" xfId="0" applyNumberFormat="1" applyFont="1" applyFill="1"/>
    <xf numFmtId="171" fontId="35" fillId="2" borderId="0" xfId="0" applyNumberFormat="1" applyFont="1" applyFill="1"/>
    <xf numFmtId="10" fontId="36" fillId="12" borderId="0" xfId="3" applyNumberFormat="1" applyFont="1" applyFill="1"/>
    <xf numFmtId="10" fontId="35" fillId="2" borderId="0" xfId="3" applyNumberFormat="1" applyFont="1" applyFill="1"/>
    <xf numFmtId="0" fontId="37" fillId="2" borderId="0" xfId="0" applyFont="1" applyFill="1" applyAlignment="1">
      <alignment horizontal="left" indent="2"/>
    </xf>
    <xf numFmtId="4" fontId="37" fillId="2" borderId="0" xfId="0" applyNumberFormat="1" applyFont="1" applyFill="1"/>
    <xf numFmtId="171" fontId="37" fillId="2" borderId="0" xfId="0" applyNumberFormat="1" applyFont="1" applyFill="1"/>
    <xf numFmtId="10" fontId="37" fillId="2" borderId="0" xfId="3" applyNumberFormat="1" applyFont="1" applyFill="1"/>
    <xf numFmtId="10" fontId="0" fillId="0" borderId="23" xfId="0" applyNumberFormat="1" applyBorder="1"/>
    <xf numFmtId="44" fontId="0" fillId="0" borderId="0" xfId="0" applyNumberFormat="1"/>
    <xf numFmtId="0" fontId="35" fillId="2" borderId="0" xfId="0" applyFont="1" applyFill="1" applyAlignment="1">
      <alignment horizontal="left"/>
    </xf>
    <xf numFmtId="0" fontId="10" fillId="0" borderId="1" xfId="0" applyFont="1" applyBorder="1" applyAlignment="1">
      <alignment vertical="center" textRotation="90"/>
    </xf>
    <xf numFmtId="0" fontId="10" fillId="0" borderId="4" xfId="0" applyFont="1" applyBorder="1" applyAlignment="1">
      <alignment vertical="center" textRotation="90"/>
    </xf>
    <xf numFmtId="2" fontId="13" fillId="0" borderId="7" xfId="0" applyNumberFormat="1" applyFont="1" applyBorder="1"/>
    <xf numFmtId="44" fontId="0" fillId="0" borderId="7" xfId="0" applyNumberFormat="1" applyBorder="1"/>
    <xf numFmtId="4" fontId="6" fillId="0" borderId="0" xfId="0" applyNumberFormat="1" applyFont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Continuous" vertical="center"/>
    </xf>
    <xf numFmtId="164" fontId="11" fillId="0" borderId="0" xfId="1" applyNumberFormat="1" applyFont="1" applyFill="1" applyBorder="1" applyAlignment="1">
      <alignment horizontal="centerContinuous" vertical="center"/>
    </xf>
    <xf numFmtId="4" fontId="2" fillId="3" borderId="48" xfId="0" applyNumberFormat="1" applyFont="1" applyFill="1" applyBorder="1" applyAlignment="1">
      <alignment horizontal="centerContinuous"/>
    </xf>
    <xf numFmtId="0" fontId="2" fillId="3" borderId="44" xfId="0" applyFont="1" applyFill="1" applyBorder="1"/>
    <xf numFmtId="4" fontId="2" fillId="3" borderId="24" xfId="0" applyNumberFormat="1" applyFont="1" applyFill="1" applyBorder="1" applyAlignment="1">
      <alignment horizontal="center"/>
    </xf>
    <xf numFmtId="4" fontId="2" fillId="3" borderId="44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2" fillId="3" borderId="49" xfId="0" applyNumberFormat="1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" fontId="2" fillId="0" borderId="0" xfId="0" applyNumberFormat="1" applyFont="1" applyAlignment="1">
      <alignment horizontal="centerContinuous"/>
    </xf>
    <xf numFmtId="4" fontId="2" fillId="3" borderId="50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left" vertical="center"/>
    </xf>
    <xf numFmtId="4" fontId="2" fillId="3" borderId="43" xfId="0" applyNumberFormat="1" applyFont="1" applyFill="1" applyBorder="1" applyAlignment="1">
      <alignment horizontal="center" vertical="center"/>
    </xf>
    <xf numFmtId="4" fontId="2" fillId="3" borderId="51" xfId="0" applyNumberFormat="1" applyFont="1" applyFill="1" applyBorder="1" applyAlignment="1">
      <alignment horizontal="centerContinuous"/>
    </xf>
    <xf numFmtId="4" fontId="2" fillId="3" borderId="52" xfId="0" applyNumberFormat="1" applyFont="1" applyFill="1" applyBorder="1" applyAlignment="1">
      <alignment horizontal="centerContinuous"/>
    </xf>
    <xf numFmtId="4" fontId="2" fillId="0" borderId="0" xfId="0" applyNumberFormat="1" applyFont="1" applyAlignment="1">
      <alignment horizontal="left"/>
    </xf>
    <xf numFmtId="10" fontId="11" fillId="0" borderId="0" xfId="3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2" fontId="9" fillId="0" borderId="17" xfId="0" applyNumberFormat="1" applyFont="1" applyBorder="1" applyAlignment="1">
      <alignment horizontal="centerContinuous"/>
    </xf>
    <xf numFmtId="2" fontId="9" fillId="0" borderId="37" xfId="0" applyNumberFormat="1" applyFont="1" applyBorder="1" applyAlignment="1">
      <alignment horizontal="centerContinuous"/>
    </xf>
    <xf numFmtId="0" fontId="0" fillId="0" borderId="23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Continuous"/>
    </xf>
    <xf numFmtId="0" fontId="9" fillId="0" borderId="23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Continuous"/>
    </xf>
    <xf numFmtId="2" fontId="9" fillId="0" borderId="19" xfId="0" applyNumberFormat="1" applyFont="1" applyBorder="1" applyAlignment="1">
      <alignment horizontal="centerContinuous"/>
    </xf>
    <xf numFmtId="0" fontId="9" fillId="0" borderId="22" xfId="0" applyFont="1" applyBorder="1" applyAlignment="1">
      <alignment horizontal="center"/>
    </xf>
    <xf numFmtId="0" fontId="36" fillId="0" borderId="0" xfId="0" applyFont="1"/>
    <xf numFmtId="0" fontId="39" fillId="0" borderId="0" xfId="0" applyFont="1"/>
    <xf numFmtId="0" fontId="34" fillId="11" borderId="10" xfId="0" applyFont="1" applyFill="1" applyBorder="1" applyAlignment="1">
      <alignment horizontal="center"/>
    </xf>
    <xf numFmtId="0" fontId="36" fillId="12" borderId="10" xfId="0" applyFont="1" applyFill="1" applyBorder="1"/>
    <xf numFmtId="4" fontId="36" fillId="12" borderId="10" xfId="0" applyNumberFormat="1" applyFont="1" applyFill="1" applyBorder="1"/>
    <xf numFmtId="0" fontId="35" fillId="2" borderId="10" xfId="0" applyFont="1" applyFill="1" applyBorder="1" applyAlignment="1">
      <alignment horizontal="left" indent="1"/>
    </xf>
    <xf numFmtId="4" fontId="35" fillId="2" borderId="10" xfId="0" applyNumberFormat="1" applyFont="1" applyFill="1" applyBorder="1"/>
    <xf numFmtId="0" fontId="37" fillId="2" borderId="10" xfId="0" applyFont="1" applyFill="1" applyBorder="1" applyAlignment="1">
      <alignment horizontal="left" indent="2"/>
    </xf>
    <xf numFmtId="4" fontId="37" fillId="2" borderId="10" xfId="0" applyNumberFormat="1" applyFont="1" applyFill="1" applyBorder="1"/>
    <xf numFmtId="0" fontId="0" fillId="0" borderId="10" xfId="0" applyBorder="1"/>
    <xf numFmtId="0" fontId="9" fillId="0" borderId="23" xfId="0" applyFont="1" applyBorder="1" applyAlignment="1">
      <alignment horizontal="left"/>
    </xf>
    <xf numFmtId="4" fontId="39" fillId="0" borderId="37" xfId="0" applyNumberFormat="1" applyFont="1" applyBorder="1" applyAlignment="1">
      <alignment horizontal="centerContinuous"/>
    </xf>
    <xf numFmtId="4" fontId="39" fillId="0" borderId="36" xfId="0" applyNumberFormat="1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3" fontId="13" fillId="0" borderId="0" xfId="4" applyNumberFormat="1" applyFont="1" applyAlignment="1" applyProtection="1">
      <alignment horizontal="center"/>
      <protection hidden="1"/>
    </xf>
    <xf numFmtId="4" fontId="11" fillId="13" borderId="0" xfId="0" applyNumberFormat="1" applyFont="1" applyFill="1" applyAlignment="1">
      <alignment horizontal="center"/>
    </xf>
    <xf numFmtId="171" fontId="12" fillId="13" borderId="7" xfId="0" applyNumberFormat="1" applyFont="1" applyFill="1" applyBorder="1"/>
    <xf numFmtId="167" fontId="11" fillId="13" borderId="0" xfId="0" applyNumberFormat="1" applyFont="1" applyFill="1" applyAlignment="1">
      <alignment horizontal="center"/>
    </xf>
    <xf numFmtId="4" fontId="11" fillId="13" borderId="0" xfId="1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left"/>
    </xf>
    <xf numFmtId="177" fontId="9" fillId="13" borderId="0" xfId="0" applyNumberFormat="1" applyFont="1" applyFill="1" applyAlignment="1">
      <alignment horizontal="center"/>
    </xf>
    <xf numFmtId="190" fontId="14" fillId="0" borderId="15" xfId="0" applyNumberFormat="1" applyFont="1" applyBorder="1"/>
    <xf numFmtId="4" fontId="39" fillId="0" borderId="19" xfId="0" applyNumberFormat="1" applyFont="1" applyBorder="1" applyAlignment="1">
      <alignment horizontal="centerContinuous"/>
    </xf>
    <xf numFmtId="0" fontId="39" fillId="0" borderId="20" xfId="0" applyFont="1" applyBorder="1" applyAlignment="1">
      <alignment horizontal="centerContinuous"/>
    </xf>
    <xf numFmtId="4" fontId="39" fillId="0" borderId="22" xfId="0" applyNumberFormat="1" applyFont="1" applyBorder="1" applyAlignment="1">
      <alignment horizontal="centerContinuous"/>
    </xf>
    <xf numFmtId="10" fontId="35" fillId="0" borderId="0" xfId="3" applyNumberFormat="1" applyFont="1" applyFill="1"/>
    <xf numFmtId="10" fontId="11" fillId="13" borderId="0" xfId="3" applyNumberFormat="1" applyFont="1" applyFill="1" applyAlignment="1">
      <alignment horizontal="center"/>
    </xf>
    <xf numFmtId="0" fontId="42" fillId="0" borderId="0" xfId="0" applyFont="1"/>
    <xf numFmtId="4" fontId="12" fillId="13" borderId="0" xfId="1" applyNumberFormat="1" applyFont="1" applyFill="1" applyBorder="1" applyAlignment="1">
      <alignment horizontal="center"/>
    </xf>
    <xf numFmtId="3" fontId="39" fillId="0" borderId="33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4" fontId="39" fillId="0" borderId="4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" fontId="41" fillId="0" borderId="0" xfId="0" applyNumberFormat="1" applyFont="1" applyAlignment="1">
      <alignment horizontal="right"/>
    </xf>
    <xf numFmtId="4" fontId="40" fillId="0" borderId="0" xfId="0" applyNumberFormat="1" applyFont="1" applyAlignment="1">
      <alignment horizontal="right"/>
    </xf>
    <xf numFmtId="166" fontId="33" fillId="0" borderId="0" xfId="0" applyNumberFormat="1" applyFont="1" applyAlignment="1">
      <alignment horizontal="right"/>
    </xf>
    <xf numFmtId="4" fontId="2" fillId="3" borderId="2" xfId="0" applyNumberFormat="1" applyFont="1" applyFill="1" applyBorder="1" applyAlignment="1">
      <alignment horizontal="center"/>
    </xf>
    <xf numFmtId="3" fontId="9" fillId="0" borderId="21" xfId="0" applyNumberFormat="1" applyFont="1" applyBorder="1" applyAlignment="1">
      <alignment horizontal="center"/>
    </xf>
    <xf numFmtId="4" fontId="39" fillId="0" borderId="20" xfId="0" applyNumberFormat="1" applyFont="1" applyBorder="1" applyAlignment="1">
      <alignment horizontal="center"/>
    </xf>
    <xf numFmtId="0" fontId="16" fillId="0" borderId="0" xfId="0" applyFont="1"/>
    <xf numFmtId="4" fontId="39" fillId="0" borderId="37" xfId="0" applyNumberFormat="1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4" fontId="39" fillId="0" borderId="19" xfId="0" applyNumberFormat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/>
    </xf>
    <xf numFmtId="1" fontId="3" fillId="0" borderId="0" xfId="0" applyNumberFormat="1" applyFont="1"/>
    <xf numFmtId="44" fontId="33" fillId="0" borderId="0" xfId="2" applyFont="1" applyAlignment="1">
      <alignment horizontal="right"/>
    </xf>
    <xf numFmtId="167" fontId="39" fillId="0" borderId="17" xfId="0" applyNumberFormat="1" applyFont="1" applyBorder="1" applyAlignment="1">
      <alignment horizontal="center"/>
    </xf>
    <xf numFmtId="4" fontId="39" fillId="0" borderId="0" xfId="0" applyNumberFormat="1" applyFont="1" applyAlignment="1">
      <alignment horizontal="centerContinuous"/>
    </xf>
    <xf numFmtId="4" fontId="11" fillId="0" borderId="37" xfId="0" applyNumberFormat="1" applyFont="1" applyBorder="1" applyAlignment="1">
      <alignment horizontal="centerContinuous"/>
    </xf>
    <xf numFmtId="4" fontId="11" fillId="0" borderId="36" xfId="0" applyNumberFormat="1" applyFont="1" applyBorder="1" applyAlignment="1">
      <alignment horizontal="centerContinuous"/>
    </xf>
    <xf numFmtId="4" fontId="11" fillId="0" borderId="19" xfId="0" applyNumberFormat="1" applyFont="1" applyBorder="1" applyAlignment="1">
      <alignment horizontal="centerContinuous"/>
    </xf>
    <xf numFmtId="167" fontId="39" fillId="0" borderId="16" xfId="0" applyNumberFormat="1" applyFont="1" applyBorder="1" applyAlignment="1">
      <alignment horizontal="center"/>
    </xf>
    <xf numFmtId="4" fontId="43" fillId="0" borderId="0" xfId="0" applyNumberFormat="1" applyFont="1" applyAlignment="1">
      <alignment horizontal="right"/>
    </xf>
    <xf numFmtId="43" fontId="0" fillId="0" borderId="24" xfId="1" applyFont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4" fontId="9" fillId="0" borderId="37" xfId="0" applyNumberFormat="1" applyFont="1" applyBorder="1" applyAlignment="1">
      <alignment horizontal="centerContinuous" vertical="center"/>
    </xf>
    <xf numFmtId="4" fontId="39" fillId="0" borderId="26" xfId="0" applyNumberFormat="1" applyFont="1" applyBorder="1" applyAlignment="1">
      <alignment horizontal="center"/>
    </xf>
    <xf numFmtId="2" fontId="11" fillId="0" borderId="37" xfId="0" applyNumberFormat="1" applyFont="1" applyBorder="1" applyAlignment="1">
      <alignment horizontal="centerContinuous" vertical="center"/>
    </xf>
    <xf numFmtId="0" fontId="11" fillId="0" borderId="37" xfId="0" applyFont="1" applyBorder="1" applyAlignment="1">
      <alignment horizontal="centerContinuous" vertical="center"/>
    </xf>
    <xf numFmtId="2" fontId="11" fillId="0" borderId="19" xfId="0" applyNumberFormat="1" applyFont="1" applyBorder="1" applyAlignment="1">
      <alignment horizontal="centerContinuous" vertical="center"/>
    </xf>
    <xf numFmtId="4" fontId="39" fillId="13" borderId="0" xfId="0" applyNumberFormat="1" applyFont="1" applyFill="1" applyAlignment="1">
      <alignment horizontal="center"/>
    </xf>
    <xf numFmtId="4" fontId="39" fillId="0" borderId="16" xfId="0" applyNumberFormat="1" applyFont="1" applyBorder="1" applyAlignment="1">
      <alignment horizontal="centerContinuous"/>
    </xf>
    <xf numFmtId="4" fontId="39" fillId="0" borderId="23" xfId="0" applyNumberFormat="1" applyFont="1" applyBorder="1" applyAlignment="1">
      <alignment horizontal="centerContinuous"/>
    </xf>
    <xf numFmtId="2" fontId="11" fillId="0" borderId="37" xfId="0" applyNumberFormat="1" applyFont="1" applyBorder="1" applyAlignment="1">
      <alignment horizontal="centerContinuous"/>
    </xf>
    <xf numFmtId="0" fontId="11" fillId="0" borderId="37" xfId="0" applyFont="1" applyBorder="1" applyAlignment="1">
      <alignment horizontal="centerContinuous"/>
    </xf>
    <xf numFmtId="2" fontId="11" fillId="0" borderId="19" xfId="0" applyNumberFormat="1" applyFont="1" applyBorder="1" applyAlignment="1">
      <alignment horizontal="centerContinuous"/>
    </xf>
    <xf numFmtId="4" fontId="39" fillId="0" borderId="16" xfId="0" applyNumberFormat="1" applyFont="1" applyBorder="1" applyAlignment="1">
      <alignment horizontal="centerContinuous" vertical="center"/>
    </xf>
    <xf numFmtId="189" fontId="39" fillId="0" borderId="17" xfId="0" applyNumberFormat="1" applyFont="1" applyBorder="1" applyAlignment="1">
      <alignment horizontal="centerContinuous" vertical="center"/>
    </xf>
    <xf numFmtId="170" fontId="39" fillId="0" borderId="17" xfId="0" applyNumberFormat="1" applyFont="1" applyBorder="1" applyAlignment="1">
      <alignment horizontal="centerContinuous" vertical="center"/>
    </xf>
    <xf numFmtId="167" fontId="39" fillId="0" borderId="17" xfId="0" applyNumberFormat="1" applyFont="1" applyBorder="1" applyAlignment="1">
      <alignment horizontal="centerContinuous" vertical="center"/>
    </xf>
    <xf numFmtId="4" fontId="9" fillId="13" borderId="37" xfId="0" applyNumberFormat="1" applyFont="1" applyFill="1" applyBorder="1" applyAlignment="1">
      <alignment horizontal="center" vertical="center"/>
    </xf>
    <xf numFmtId="4" fontId="11" fillId="0" borderId="3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19" xfId="0" applyNumberFormat="1" applyFont="1" applyBorder="1" applyAlignment="1">
      <alignment horizontal="center"/>
    </xf>
    <xf numFmtId="4" fontId="39" fillId="0" borderId="28" xfId="0" applyNumberFormat="1" applyFont="1" applyBorder="1" applyAlignment="1">
      <alignment horizontal="center" vertical="center"/>
    </xf>
    <xf numFmtId="4" fontId="39" fillId="0" borderId="18" xfId="0" applyNumberFormat="1" applyFont="1" applyBorder="1" applyAlignment="1">
      <alignment horizontal="center" vertical="center"/>
    </xf>
    <xf numFmtId="4" fontId="39" fillId="0" borderId="16" xfId="0" applyNumberFormat="1" applyFont="1" applyBorder="1" applyAlignment="1">
      <alignment horizontal="center" vertical="center"/>
    </xf>
    <xf numFmtId="4" fontId="39" fillId="0" borderId="28" xfId="0" applyNumberFormat="1" applyFont="1" applyBorder="1" applyAlignment="1">
      <alignment horizontal="center"/>
    </xf>
    <xf numFmtId="4" fontId="39" fillId="0" borderId="18" xfId="0" applyNumberFormat="1" applyFont="1" applyBorder="1" applyAlignment="1">
      <alignment horizontal="center"/>
    </xf>
    <xf numFmtId="4" fontId="39" fillId="0" borderId="16" xfId="0" applyNumberFormat="1" applyFont="1" applyBorder="1" applyAlignment="1">
      <alignment horizontal="center"/>
    </xf>
    <xf numFmtId="4" fontId="39" fillId="0" borderId="30" xfId="0" applyNumberFormat="1" applyFont="1" applyBorder="1" applyAlignment="1">
      <alignment horizontal="center"/>
    </xf>
    <xf numFmtId="4" fontId="39" fillId="0" borderId="29" xfId="0" applyNumberFormat="1" applyFont="1" applyBorder="1" applyAlignment="1">
      <alignment horizontal="center"/>
    </xf>
    <xf numFmtId="4" fontId="39" fillId="0" borderId="19" xfId="0" applyNumberFormat="1" applyFont="1" applyBorder="1" applyAlignment="1">
      <alignment horizontal="center"/>
    </xf>
    <xf numFmtId="10" fontId="11" fillId="0" borderId="30" xfId="3" applyNumberFormat="1" applyFont="1" applyBorder="1" applyAlignment="1">
      <alignment horizontal="center"/>
    </xf>
    <xf numFmtId="10" fontId="11" fillId="0" borderId="29" xfId="3" applyNumberFormat="1" applyFont="1" applyBorder="1" applyAlignment="1">
      <alignment horizontal="center"/>
    </xf>
    <xf numFmtId="10" fontId="9" fillId="0" borderId="30" xfId="3" applyNumberFormat="1" applyFont="1" applyBorder="1" applyAlignment="1">
      <alignment horizontal="center"/>
    </xf>
    <xf numFmtId="10" fontId="9" fillId="0" borderId="29" xfId="3" applyNumberFormat="1" applyFont="1" applyBorder="1" applyAlignment="1">
      <alignment horizontal="center"/>
    </xf>
    <xf numFmtId="10" fontId="9" fillId="0" borderId="30" xfId="3" applyNumberFormat="1" applyFont="1" applyFill="1" applyBorder="1" applyAlignment="1">
      <alignment horizontal="center" vertical="center"/>
    </xf>
    <xf numFmtId="10" fontId="9" fillId="0" borderId="29" xfId="3" applyNumberFormat="1" applyFont="1" applyFill="1" applyBorder="1" applyAlignment="1">
      <alignment horizontal="center" vertical="center"/>
    </xf>
    <xf numFmtId="10" fontId="11" fillId="0" borderId="30" xfId="3" applyNumberFormat="1" applyFont="1" applyFill="1" applyBorder="1" applyAlignment="1">
      <alignment horizontal="center"/>
    </xf>
    <xf numFmtId="10" fontId="11" fillId="0" borderId="29" xfId="3" applyNumberFormat="1" applyFont="1" applyFill="1" applyBorder="1" applyAlignment="1">
      <alignment horizontal="center"/>
    </xf>
    <xf numFmtId="1" fontId="9" fillId="0" borderId="30" xfId="3" applyNumberFormat="1" applyFont="1" applyFill="1" applyBorder="1" applyAlignment="1">
      <alignment horizontal="center"/>
    </xf>
    <xf numFmtId="1" fontId="9" fillId="0" borderId="29" xfId="3" applyNumberFormat="1" applyFont="1" applyFill="1" applyBorder="1" applyAlignment="1">
      <alignment horizontal="center"/>
    </xf>
    <xf numFmtId="10" fontId="11" fillId="0" borderId="28" xfId="3" applyNumberFormat="1" applyFont="1" applyBorder="1" applyAlignment="1">
      <alignment horizontal="center"/>
    </xf>
    <xf numFmtId="10" fontId="11" fillId="0" borderId="18" xfId="3" applyNumberFormat="1" applyFont="1" applyBorder="1" applyAlignment="1">
      <alignment horizontal="center"/>
    </xf>
    <xf numFmtId="1" fontId="9" fillId="0" borderId="30" xfId="3" applyNumberFormat="1" applyFont="1" applyBorder="1" applyAlignment="1">
      <alignment horizontal="center"/>
    </xf>
    <xf numFmtId="1" fontId="9" fillId="0" borderId="29" xfId="3" applyNumberFormat="1" applyFont="1" applyBorder="1" applyAlignment="1">
      <alignment horizontal="center"/>
    </xf>
    <xf numFmtId="10" fontId="39" fillId="0" borderId="30" xfId="3" applyNumberFormat="1" applyFont="1" applyFill="1" applyBorder="1" applyAlignment="1">
      <alignment horizontal="center"/>
    </xf>
    <xf numFmtId="10" fontId="39" fillId="0" borderId="29" xfId="3" applyNumberFormat="1" applyFont="1" applyFill="1" applyBorder="1" applyAlignment="1">
      <alignment horizontal="center"/>
    </xf>
    <xf numFmtId="181" fontId="9" fillId="0" borderId="30" xfId="0" applyNumberFormat="1" applyFont="1" applyBorder="1" applyAlignment="1">
      <alignment horizontal="center"/>
    </xf>
    <xf numFmtId="181" fontId="9" fillId="0" borderId="29" xfId="0" applyNumberFormat="1" applyFont="1" applyBorder="1" applyAlignment="1">
      <alignment horizontal="center"/>
    </xf>
    <xf numFmtId="171" fontId="9" fillId="0" borderId="30" xfId="1" applyNumberFormat="1" applyFont="1" applyBorder="1" applyAlignment="1">
      <alignment horizontal="center" vertical="center"/>
    </xf>
    <xf numFmtId="171" fontId="9" fillId="0" borderId="29" xfId="1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4" fontId="9" fillId="0" borderId="33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/>
    </xf>
    <xf numFmtId="4" fontId="9" fillId="0" borderId="30" xfId="0" applyNumberFormat="1" applyFont="1" applyBorder="1" applyAlignment="1">
      <alignment horizontal="center"/>
    </xf>
    <xf numFmtId="4" fontId="9" fillId="0" borderId="29" xfId="0" applyNumberFormat="1" applyFont="1" applyBorder="1" applyAlignment="1">
      <alignment horizontal="center"/>
    </xf>
    <xf numFmtId="10" fontId="9" fillId="0" borderId="28" xfId="3" applyNumberFormat="1" applyFont="1" applyBorder="1" applyAlignment="1">
      <alignment horizontal="center"/>
    </xf>
    <xf numFmtId="10" fontId="9" fillId="0" borderId="18" xfId="3" applyNumberFormat="1" applyFont="1" applyBorder="1" applyAlignment="1">
      <alignment horizontal="center"/>
    </xf>
    <xf numFmtId="4" fontId="9" fillId="0" borderId="28" xfId="3" applyNumberFormat="1" applyFont="1" applyBorder="1" applyAlignment="1">
      <alignment horizontal="center"/>
    </xf>
    <xf numFmtId="4" fontId="9" fillId="0" borderId="18" xfId="3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5" xfId="0" applyNumberFormat="1" applyFont="1" applyBorder="1" applyAlignment="1">
      <alignment horizontal="center"/>
    </xf>
    <xf numFmtId="181" fontId="9" fillId="0" borderId="0" xfId="0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center" vertical="center"/>
    </xf>
    <xf numFmtId="1" fontId="9" fillId="0" borderId="0" xfId="3" applyNumberFormat="1" applyFont="1" applyFill="1" applyBorder="1" applyAlignment="1">
      <alignment horizontal="center"/>
    </xf>
    <xf numFmtId="10" fontId="9" fillId="0" borderId="0" xfId="3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0" fontId="9" fillId="0" borderId="0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9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 wrapText="1"/>
    </xf>
    <xf numFmtId="10" fontId="9" fillId="0" borderId="19" xfId="3" applyNumberFormat="1" applyFont="1" applyFill="1" applyBorder="1" applyAlignment="1">
      <alignment horizontal="center" vertical="center"/>
    </xf>
    <xf numFmtId="10" fontId="9" fillId="0" borderId="30" xfId="3" applyNumberFormat="1" applyFont="1" applyFill="1" applyBorder="1" applyAlignment="1">
      <alignment horizontal="center"/>
    </xf>
    <xf numFmtId="10" fontId="9" fillId="0" borderId="29" xfId="3" applyNumberFormat="1" applyFont="1" applyFill="1" applyBorder="1" applyAlignment="1">
      <alignment horizontal="center"/>
    </xf>
    <xf numFmtId="10" fontId="9" fillId="0" borderId="31" xfId="3" applyNumberFormat="1" applyFont="1" applyFill="1" applyBorder="1" applyAlignment="1">
      <alignment horizontal="center"/>
    </xf>
    <xf numFmtId="1" fontId="9" fillId="0" borderId="31" xfId="3" applyNumberFormat="1" applyFont="1" applyFill="1" applyBorder="1" applyAlignment="1">
      <alignment horizontal="center"/>
    </xf>
    <xf numFmtId="10" fontId="9" fillId="0" borderId="32" xfId="3" applyNumberFormat="1" applyFont="1" applyBorder="1" applyAlignment="1">
      <alignment horizontal="center"/>
    </xf>
    <xf numFmtId="4" fontId="9" fillId="0" borderId="31" xfId="0" applyNumberFormat="1" applyFont="1" applyBorder="1" applyAlignment="1">
      <alignment horizontal="center"/>
    </xf>
    <xf numFmtId="10" fontId="9" fillId="0" borderId="31" xfId="3" applyNumberFormat="1" applyFont="1" applyBorder="1" applyAlignment="1">
      <alignment horizontal="center"/>
    </xf>
    <xf numFmtId="10" fontId="39" fillId="0" borderId="31" xfId="3" applyNumberFormat="1" applyFont="1" applyFill="1" applyBorder="1" applyAlignment="1">
      <alignment horizontal="center"/>
    </xf>
    <xf numFmtId="1" fontId="9" fillId="0" borderId="19" xfId="3" applyNumberFormat="1" applyFont="1" applyBorder="1" applyAlignment="1">
      <alignment horizontal="center"/>
    </xf>
    <xf numFmtId="0" fontId="4" fillId="9" borderId="42" xfId="0" applyFont="1" applyFill="1" applyBorder="1" applyAlignment="1">
      <alignment horizontal="left" vertical="center"/>
    </xf>
    <xf numFmtId="0" fontId="4" fillId="9" borderId="42" xfId="0" applyFont="1" applyFill="1" applyBorder="1" applyAlignment="1">
      <alignment horizontal="center"/>
    </xf>
    <xf numFmtId="181" fontId="9" fillId="0" borderId="31" xfId="0" applyNumberFormat="1" applyFont="1" applyBorder="1" applyAlignment="1">
      <alignment horizontal="center"/>
    </xf>
    <xf numFmtId="171" fontId="9" fillId="0" borderId="19" xfId="1" applyNumberFormat="1" applyFont="1" applyBorder="1" applyAlignment="1">
      <alignment horizontal="center" vertical="center"/>
    </xf>
    <xf numFmtId="4" fontId="9" fillId="0" borderId="32" xfId="0" applyNumberFormat="1" applyFont="1" applyBorder="1" applyAlignment="1">
      <alignment horizontal="center"/>
    </xf>
    <xf numFmtId="4" fontId="9" fillId="0" borderId="34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4" fillId="6" borderId="14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6" fillId="6" borderId="1" xfId="5" applyFont="1" applyFill="1" applyBorder="1" applyAlignment="1">
      <alignment horizontal="center" vertical="center" wrapText="1"/>
    </xf>
    <xf numFmtId="0" fontId="26" fillId="6" borderId="9" xfId="5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24">
    <cellStyle name="Moeda" xfId="2" builtinId="4"/>
    <cellStyle name="Moeda 2" xfId="7" xr:uid="{9102C1B8-97B0-4ACA-BAFB-A1EB7887F39A}"/>
    <cellStyle name="Moeda 2 2" xfId="15" xr:uid="{AB99FA31-1BAF-48A6-8CF4-3E475C24FE7F}"/>
    <cellStyle name="Moeda 2 2 2" xfId="23" xr:uid="{DCDFA6E1-7EED-404D-B2E8-4B50C0271A43}"/>
    <cellStyle name="Moeda 2 3" xfId="11" xr:uid="{3683DDCD-0D02-4A95-8DF0-487AA4502D64}"/>
    <cellStyle name="Moeda 2 4" xfId="18" xr:uid="{6084F0EB-43E1-4BFF-9F26-F0116A1D3E0F}"/>
    <cellStyle name="Moeda 3" xfId="13" xr:uid="{69470156-A524-44A1-B02C-9224BF7FFC00}"/>
    <cellStyle name="Moeda 3 2" xfId="21" xr:uid="{759B6D19-CF86-411A-BBD4-17F48F1EE6C1}"/>
    <cellStyle name="Moeda 4" xfId="9" xr:uid="{6D1893B8-456C-4437-B992-3AB9283C8D49}"/>
    <cellStyle name="Moeda 5" xfId="17" xr:uid="{7D8474A7-6105-457C-8226-E106348CADF7}"/>
    <cellStyle name="Normal" xfId="0" builtinId="0"/>
    <cellStyle name="Normal 2 2 2" xfId="5" xr:uid="{78FC99C5-2294-4904-9C85-F311B4A22B4F}"/>
    <cellStyle name="Normal_Escolar Rural - 1" xfId="4" xr:uid="{FD06D171-A9C4-4597-A587-FD4F8236CE65}"/>
    <cellStyle name="Porcentagem" xfId="3" builtinId="5"/>
    <cellStyle name="Separador de milhares 2" xfId="6" xr:uid="{D59E64D2-15FC-49E1-9F89-869366BE0015}"/>
    <cellStyle name="Separador de milhares 2 2" xfId="14" xr:uid="{23D78ADE-46FE-483C-998A-6FA47E0B4BF0}"/>
    <cellStyle name="Separador de milhares 2 2 2" xfId="22" xr:uid="{D3927FF1-726A-448D-A69C-8D87A762A433}"/>
    <cellStyle name="Separador de milhares 2 3" xfId="10" xr:uid="{9D764820-F15E-47CA-8D80-4C9FB95AE158}"/>
    <cellStyle name="Separador de milhares 2 3 2" xfId="19" xr:uid="{F46F5000-6C5B-40EE-B4CC-9B46FDBAEA4B}"/>
    <cellStyle name="Vírgula" xfId="1" builtinId="3"/>
    <cellStyle name="Vírgula 2" xfId="12" xr:uid="{1284E5D0-2E27-4DA0-83B3-A5F7585FF79B}"/>
    <cellStyle name="Vírgula 2 2" xfId="20" xr:uid="{E3BC998D-1A52-42A1-8D8B-1C5560ACF093}"/>
    <cellStyle name="Vírgula 3" xfId="8" xr:uid="{6AE2D545-4897-41E0-974F-66A101E647E3}"/>
    <cellStyle name="Vírgula 4" xfId="16" xr:uid="{DBA1F91F-E1F4-4CFF-97D5-17BF25C06114}"/>
  </cellStyles>
  <dxfs count="3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2723"/>
      <color rgb="FFB5975B"/>
      <color rgb="FFCC9900"/>
      <color rgb="FFB48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97-42B6-B581-112D9A034D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97-42B6-B581-112D9A034D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97-42B6-B581-112D9A034D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97-42B6-B581-112D9A034D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97-42B6-B581-112D9A034D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397-42B6-B581-112D9A034D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97-42B6-B581-112D9A034D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009-4F22-AF97-8E0F0F4D52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009-4F22-AF97-8E0F0F4D52E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009-4F22-AF97-8E0F0F4D52E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009-4F22-AF97-8E0F0F4D52E8}"/>
              </c:ext>
            </c:extLst>
          </c:dPt>
          <c:dLbls>
            <c:dLbl>
              <c:idx val="0"/>
              <c:layout>
                <c:manualLayout>
                  <c:x val="2.7512863679236568E-2"/>
                  <c:y val="6.5235135875172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7-42B6-B581-112D9A034D81}"/>
                </c:ext>
              </c:extLst>
            </c:dLbl>
            <c:dLbl>
              <c:idx val="1"/>
              <c:layout>
                <c:manualLayout>
                  <c:x val="0.1989288635447907"/>
                  <c:y val="-1.03296535024143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7-42B6-B581-112D9A034D81}"/>
                </c:ext>
              </c:extLst>
            </c:dLbl>
            <c:dLbl>
              <c:idx val="2"/>
              <c:layout>
                <c:manualLayout>
                  <c:x val="-1.7710536626572255E-2"/>
                  <c:y val="9.4210592566542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7-42B6-B581-112D9A034D81}"/>
                </c:ext>
              </c:extLst>
            </c:dLbl>
            <c:dLbl>
              <c:idx val="3"/>
              <c:layout>
                <c:manualLayout>
                  <c:x val="-4.5304512284367486E-2"/>
                  <c:y val="5.658106636802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7-42B6-B581-112D9A034D81}"/>
                </c:ext>
              </c:extLst>
            </c:dLbl>
            <c:dLbl>
              <c:idx val="4"/>
              <c:layout>
                <c:manualLayout>
                  <c:x val="-0.10980603542565663"/>
                  <c:y val="7.13018607650951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97-42B6-B581-112D9A034D81}"/>
                </c:ext>
              </c:extLst>
            </c:dLbl>
            <c:dLbl>
              <c:idx val="5"/>
              <c:layout>
                <c:manualLayout>
                  <c:x val="-0.17185058784656446"/>
                  <c:y val="7.7980319155148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97-42B6-B581-112D9A034D81}"/>
                </c:ext>
              </c:extLst>
            </c:dLbl>
            <c:dLbl>
              <c:idx val="6"/>
              <c:layout>
                <c:manualLayout>
                  <c:x val="-0.12788025649718754"/>
                  <c:y val="-7.087751444659140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97-42B6-B581-112D9A034D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'Tarifa_Técnica - PLANUM'!$C$303:$C$313</c:f>
              <c:strCache>
                <c:ptCount val="10"/>
                <c:pt idx="0">
                  <c:v>Despesas Com Pessoal</c:v>
                </c:pt>
                <c:pt idx="1">
                  <c:v>Combustível</c:v>
                </c:pt>
                <c:pt idx="2">
                  <c:v>Peças e Acessórios</c:v>
                </c:pt>
                <c:pt idx="3">
                  <c:v>Outros Custos Operacionais</c:v>
                </c:pt>
                <c:pt idx="4">
                  <c:v>Custo Tributário</c:v>
                </c:pt>
                <c:pt idx="5">
                  <c:v>Rentabilidade</c:v>
                </c:pt>
                <c:pt idx="6">
                  <c:v>Despesas Administrativas</c:v>
                </c:pt>
                <c:pt idx="7">
                  <c:v>Custo de Capital</c:v>
                </c:pt>
                <c:pt idx="8">
                  <c:v>Rodagem</c:v>
                </c:pt>
                <c:pt idx="9">
                  <c:v>Lubrificante</c:v>
                </c:pt>
              </c:strCache>
            </c:strRef>
          </c:cat>
          <c:val>
            <c:numRef>
              <c:f>'Tarifa_Técnica - PLANUM'!$D$303:$D$313</c:f>
              <c:numCache>
                <c:formatCode>#,##0.00</c:formatCode>
                <c:ptCount val="11"/>
                <c:pt idx="0">
                  <c:v>1159987.4718784627</c:v>
                </c:pt>
                <c:pt idx="1">
                  <c:v>428707.07715160004</c:v>
                </c:pt>
                <c:pt idx="2">
                  <c:v>237274.15399999998</c:v>
                </c:pt>
                <c:pt idx="3">
                  <c:v>142356.48758333334</c:v>
                </c:pt>
                <c:pt idx="4">
                  <c:v>141913.89996688301</c:v>
                </c:pt>
                <c:pt idx="5">
                  <c:v>127544.05762469536</c:v>
                </c:pt>
                <c:pt idx="6">
                  <c:v>72044.646666666667</c:v>
                </c:pt>
                <c:pt idx="7">
                  <c:v>429627.01729404659</c:v>
                </c:pt>
                <c:pt idx="8">
                  <c:v>43126.841619892257</c:v>
                </c:pt>
                <c:pt idx="9">
                  <c:v>27594.583182399998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7-42B6-B581-112D9A034D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20E9D26E-54AA-41CC-A48E-771CDD467C13}">
          <cx:spPr>
            <a:solidFill>
              <a:schemeClr val="bg1">
                <a:lumMod val="65000"/>
              </a:schemeClr>
            </a:solidFill>
          </cx:spPr>
          <cx:dataPt idx="7">
            <cx:spPr>
              <a:solidFill>
                <a:srgbClr val="042723"/>
              </a:solidFill>
            </cx:spPr>
          </cx:dataPt>
          <cx:dataLabels>
            <cx:visibility seriesName="0" categoryName="0" value="1"/>
            <cx:dataLabelHidden idx="7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211112</xdr:colOff>
      <xdr:row>299</xdr:row>
      <xdr:rowOff>136672</xdr:rowOff>
    </xdr:from>
    <xdr:to>
      <xdr:col>13</xdr:col>
      <xdr:colOff>1551401</xdr:colOff>
      <xdr:row>320</xdr:row>
      <xdr:rowOff>91733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827F8443-F18C-3165-0D12-EBE134CA6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2041769</xdr:colOff>
      <xdr:row>337</xdr:row>
      <xdr:rowOff>5861</xdr:rowOff>
    </xdr:from>
    <xdr:to>
      <xdr:col>6</xdr:col>
      <xdr:colOff>556846</xdr:colOff>
      <xdr:row>351</xdr:row>
      <xdr:rowOff>150446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2">
              <a:extLst>
                <a:ext uri="{FF2B5EF4-FFF2-40B4-BE49-F238E27FC236}">
                  <a16:creationId xmlns:a16="http://schemas.microsoft.com/office/drawing/2014/main" id="{F83EA6FC-3897-D722-DFFB-B945381168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1409" y="61651661"/>
              <a:ext cx="6234137" cy="2704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66675</xdr:rowOff>
    </xdr:from>
    <xdr:to>
      <xdr:col>6</xdr:col>
      <xdr:colOff>556229</xdr:colOff>
      <xdr:row>47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D20253-0062-44B6-9AE6-44763E34E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72175"/>
          <a:ext cx="6147404" cy="3057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63500</xdr:colOff>
      <xdr:row>0</xdr:row>
      <xdr:rowOff>158115</xdr:rowOff>
    </xdr:from>
    <xdr:to>
      <xdr:col>30</xdr:col>
      <xdr:colOff>551591</xdr:colOff>
      <xdr:row>13</xdr:row>
      <xdr:rowOff>19993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786CBD-A942-4EE9-9ADC-B9379CEE6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65850" y="158115"/>
          <a:ext cx="2936016" cy="22050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504825</xdr:colOff>
      <xdr:row>10</xdr:row>
      <xdr:rowOff>168275</xdr:rowOff>
    </xdr:from>
    <xdr:ext cx="256865" cy="177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EEE75EB8-7FC9-402D-95C7-A5B0A291B2B5}"/>
                </a:ext>
              </a:extLst>
            </xdr:cNvPr>
            <xdr:cNvSpPr txBox="1"/>
          </xdr:nvSpPr>
          <xdr:spPr>
            <a:xfrm>
              <a:off x="15440025" y="2073275"/>
              <a:ext cx="256865" cy="177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𝑧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EEE75EB8-7FC9-402D-95C7-A5B0A291B2B5}"/>
                </a:ext>
              </a:extLst>
            </xdr:cNvPr>
            <xdr:cNvSpPr txBox="1"/>
          </xdr:nvSpPr>
          <xdr:spPr>
            <a:xfrm>
              <a:off x="15440025" y="2073275"/>
              <a:ext cx="256865" cy="177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𝐾_(𝑧;𝑡)</a:t>
              </a:r>
              <a:endParaRPr lang="pt-BR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stitutoibeta.sharepoint.com/sites/UBR/Documentos%20Compartilhados/General/03.%20Estudos%20e%20An&#225;lises/06.%20Apura&#231;&#227;o%20de%20Percentual%20de%20Custos/02.%20Camara%20de%20Compensa&#231;&#227;o/06.%20C&#225;lculos%20Resumidos/Apura&#231;&#227;o%20de%20Custo%20Mensal%20-%20Proje&#231;&#227;o%20Jan%2023.xlsx" TargetMode="External"/><Relationship Id="rId2" Type="http://schemas.microsoft.com/office/2019/04/relationships/externalLinkLongPath" Target="https://cgaadvogadoscuritiba-my.sharepoint.com/sites/UBR/Documentos%20Compartilhados/General/03.%20Estudos%20e%20An&#225;lises/06.%20Apura&#231;&#227;o%20de%20Percentual%20de%20Custos/02.%20Camara%20de%20Compensa&#231;&#227;o/06.%20C&#225;lculos%20Resumidos/Apura&#231;&#227;o%20de%20Custo%20Mensal%20-%20Proje&#231;&#227;o%20Jan%2023.xlsx?C08D6B04" TargetMode="External"/><Relationship Id="rId1" Type="http://schemas.openxmlformats.org/officeDocument/2006/relationships/externalLinkPath" Target="file:///\\C08D6B04\Apura&#231;&#227;o%20de%20Custo%20Mensal%20-%20Proje&#231;&#227;o%20Jan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gaadvogadoscuritiba-my.sharepoint.com/.shortcut-targets-by-id/1ZIjBTPSeCWwRykGMAycgU8lwe4tNF5bS/06.%20IBT%20-%20Clientes/UBR_UBR/04.%20Relat&#243;rios/03.%20Resultado%20Mensal%20do%20Contrato/03.%202022/2022%2011%20Novembro/03.%20An&#225;lises%20e%20C&#225;lculos/Planilha%20de%20Custo%20do%20Sistema%20UBR%20-%20Tarifa%20Nov%202022.xlsx?8F7631E8" TargetMode="External"/><Relationship Id="rId1" Type="http://schemas.openxmlformats.org/officeDocument/2006/relationships/externalLinkPath" Target="file:///\\8F7631E8\Planilha%20de%20Custo%20do%20Sistema%20UBR%20-%20Tarifa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ral"/>
      <sheetName val="Parâmetros"/>
      <sheetName val="Resumo"/>
      <sheetName val="CustoKm"/>
      <sheetName val="AT"/>
      <sheetName val="SS"/>
      <sheetName val="SM"/>
      <sheetName val="SR"/>
      <sheetName val="Frota_AT"/>
      <sheetName val="Vlr_Frota+IPCA"/>
      <sheetName val="Frota_SM"/>
      <sheetName val="Frota_SR"/>
      <sheetName val="Frota_TT"/>
      <sheetName val="TB_Prc_Insumos"/>
      <sheetName val="TB_Coeficientes"/>
      <sheetName val="TB_Projeções"/>
      <sheetName val="Frota_Op_Idade"/>
      <sheetName val="Frota_TT_Idade"/>
      <sheetName val="Frota_TT_Idade_403"/>
      <sheetName val="BD_Linhas_Resumo_IBT"/>
      <sheetName val="BD_Linhas_Resumo_IBT_Mult"/>
      <sheetName val="BD_Planilha_Servicos_CCO"/>
      <sheetName val="BD_Plan_Serv_Completa"/>
      <sheetName val="BD_Cont_Multilinhas"/>
      <sheetName val="Rev"/>
      <sheetName val="Calc_Adicional_Noturno"/>
      <sheetName val="Planilha_Serviços_Projeção"/>
      <sheetName val="Planilha2"/>
      <sheetName val="Resumo_Entr._Recolh."/>
      <sheetName val="xxxCalc_Custo_Projetado"/>
      <sheetName val="Resumo_FO_Atual"/>
      <sheetName val="Planilha1"/>
      <sheetName val="xxxCalc_FO_2"/>
      <sheetName val="BD_Horario"/>
      <sheetName val="Calc_FO_1"/>
      <sheetName val="Calc_FO_2_Antigo"/>
      <sheetName val="Calc_FO_2"/>
      <sheetName val="Resumo_FO_Hr"/>
      <sheetName val="Resumo_FO"/>
      <sheetName val="Resumo_FU_Antigo"/>
      <sheetName val="Resumo_FU"/>
      <sheetName val="BD_Frota"/>
      <sheetName val="BD_ANP"/>
      <sheetName val="BD_Cotação_Veiculos"/>
      <sheetName val="BD_Ausencia"/>
      <sheetName val="BD_Tipo_Veic_Linha"/>
      <sheetName val="IDEmpresa"/>
      <sheetName val="Calendario"/>
      <sheetName val="Feriados"/>
      <sheetName val="ID_2"/>
      <sheetName val="Emails"/>
      <sheetName val="Tabelas_Aux"/>
      <sheetName val="Exmp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Leve - Sem Ar</v>
          </cell>
        </row>
        <row r="3">
          <cell r="C3" t="str">
            <v>Pesado - Sem Ar</v>
          </cell>
        </row>
        <row r="4">
          <cell r="C4" t="str">
            <v>Especial - Sem Ar</v>
          </cell>
        </row>
        <row r="5">
          <cell r="C5" t="str">
            <v>Leve - Com Ar</v>
          </cell>
        </row>
        <row r="6">
          <cell r="C6" t="str">
            <v>Pesado - Com Ar</v>
          </cell>
        </row>
        <row r="7">
          <cell r="C7" t="str">
            <v>Especial - Com Ar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"/>
      <sheetName val="Formula_Modelo 3 e 4"/>
      <sheetName val="Formula_Modelo3"/>
      <sheetName val="Formula_Modelo 5 e 6"/>
      <sheetName val="Médias Para Cálculo"/>
      <sheetName val="Resumo Tarifas"/>
      <sheetName val="Planilha1"/>
      <sheetName val="Formula_Set_20_ok"/>
      <sheetName val="Parâmetros"/>
      <sheetName val="Formula_Dez_19"/>
      <sheetName val="Set_21"/>
      <sheetName val="Out_21"/>
      <sheetName val="Correcao Coef Rem"/>
      <sheetName val="Nov_21"/>
      <sheetName val="Planilha2"/>
      <sheetName val="Frota"/>
      <sheetName val="Vlr_Frota+IPCA"/>
      <sheetName val="Salarios"/>
      <sheetName val="Custos+IPCA"/>
      <sheetName val="Atualização Custos_x"/>
      <sheetName val="Índices"/>
      <sheetName val="Tabelas_Prc_Insumos"/>
      <sheetName val="Tabelas_Projeções"/>
      <sheetName val="Tabelas_Coeficientes"/>
      <sheetName val="T1_G1_CustosSistema"/>
      <sheetName val="G2_EvoluçãoDiesel"/>
      <sheetName val="T2-3_G3-4_Resultados"/>
      <sheetName val="MC_G1_ComposiçãoCusto"/>
      <sheetName val="Versão Impressão"/>
      <sheetName val="Versão Impressão - Memória Cálc"/>
      <sheetName val="Resumo"/>
      <sheetName val="Simulação"/>
    </sheetNames>
    <sheetDataSet>
      <sheetData sheetId="0">
        <row r="4">
          <cell r="E4" t="str">
            <v>Leve - Sem Ar</v>
          </cell>
          <cell r="F4" t="str">
            <v>Pesado - Sem 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porepneus.com.br/caminhao-e-onibus/pneu-29580r22-5-pirelli-anteo-pro-s-liso-152148m-18-lonas" TargetMode="External"/><Relationship Id="rId2" Type="http://schemas.openxmlformats.org/officeDocument/2006/relationships/hyperlink" Target="https://www.guaporepneus.com.br/caminhao-e-onibus/pneu-27580r22-5-pirelli-anteo-pro-s-liso-149146m-16-lonas" TargetMode="External"/><Relationship Id="rId1" Type="http://schemas.openxmlformats.org/officeDocument/2006/relationships/hyperlink" Target="https://www.guaporepneus.com.br/caminhao-e-onibus/pneu-21575r17-5-bridgestone-dayton-d450z-liso-126124l-12-lonas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F0DE-AB8B-46DC-9165-03F876D59B18}">
  <sheetPr codeName="Planilha1">
    <tabColor theme="3"/>
    <pageSetUpPr fitToPage="1"/>
  </sheetPr>
  <dimension ref="A1:U394"/>
  <sheetViews>
    <sheetView topLeftCell="A282" zoomScaleNormal="100" workbookViewId="0">
      <selection activeCell="C304" sqref="C304"/>
    </sheetView>
  </sheetViews>
  <sheetFormatPr defaultRowHeight="14.4" x14ac:dyDescent="0.3"/>
  <cols>
    <col min="1" max="1" width="9.6640625" customWidth="1"/>
    <col min="2" max="2" width="3.88671875" customWidth="1"/>
    <col min="3" max="3" width="46.5546875" customWidth="1"/>
    <col min="4" max="4" width="24.5546875" style="2" bestFit="1" customWidth="1"/>
    <col min="5" max="5" width="22.5546875" customWidth="1"/>
    <col min="6" max="6" width="18.88671875" customWidth="1"/>
    <col min="7" max="7" width="21.109375" customWidth="1"/>
    <col min="8" max="8" width="17.6640625" customWidth="1"/>
    <col min="9" max="9" width="17" customWidth="1"/>
    <col min="10" max="10" width="19.33203125" customWidth="1"/>
    <col min="11" max="11" width="13.33203125" hidden="1" customWidth="1"/>
    <col min="12" max="12" width="2.44140625" customWidth="1"/>
    <col min="13" max="13" width="22.88671875" bestFit="1" customWidth="1"/>
    <col min="14" max="14" width="29.109375" style="335" customWidth="1"/>
    <col min="15" max="15" width="23" style="335" bestFit="1" customWidth="1"/>
  </cols>
  <sheetData>
    <row r="1" spans="1:21" x14ac:dyDescent="0.3">
      <c r="C1" s="1" t="s">
        <v>0</v>
      </c>
      <c r="E1" s="3">
        <f>E6/$M$6</f>
        <v>0.20408163265306123</v>
      </c>
      <c r="F1" s="3">
        <f t="shared" ref="F1:K1" si="0">F6/$M$6</f>
        <v>2.0408163265306121E-2</v>
      </c>
      <c r="G1" s="3">
        <f t="shared" si="0"/>
        <v>0.22448979591836735</v>
      </c>
      <c r="H1" s="3">
        <f t="shared" si="0"/>
        <v>0.44897959183673469</v>
      </c>
      <c r="I1" s="3">
        <f t="shared" si="0"/>
        <v>0</v>
      </c>
      <c r="J1" s="3">
        <f t="shared" si="0"/>
        <v>0.10204081632653061</v>
      </c>
      <c r="K1" s="3">
        <f t="shared" si="0"/>
        <v>0</v>
      </c>
    </row>
    <row r="2" spans="1:21" x14ac:dyDescent="0.3">
      <c r="E2" s="3"/>
      <c r="F2" s="3"/>
      <c r="G2" s="3"/>
      <c r="H2" s="3"/>
      <c r="I2" s="3"/>
      <c r="J2" s="3"/>
      <c r="K2" s="3"/>
    </row>
    <row r="3" spans="1:21" x14ac:dyDescent="0.3">
      <c r="B3" s="532" t="s">
        <v>1</v>
      </c>
      <c r="C3" s="5"/>
      <c r="D3" s="6"/>
      <c r="E3" s="7"/>
      <c r="F3" s="7"/>
      <c r="G3" s="7"/>
      <c r="H3" s="7"/>
      <c r="I3" s="7"/>
      <c r="J3" s="7"/>
      <c r="K3" s="7"/>
      <c r="L3" s="5"/>
      <c r="M3" s="8"/>
    </row>
    <row r="4" spans="1:21" x14ac:dyDescent="0.3">
      <c r="B4" s="533"/>
      <c r="C4" s="9"/>
      <c r="D4" s="10"/>
      <c r="E4" s="9" t="s">
        <v>2</v>
      </c>
      <c r="F4" s="9" t="s">
        <v>230</v>
      </c>
      <c r="G4" s="9" t="s">
        <v>3</v>
      </c>
      <c r="H4" s="9" t="s">
        <v>4</v>
      </c>
      <c r="I4" s="9" t="s">
        <v>231</v>
      </c>
      <c r="J4" s="9" t="s">
        <v>5</v>
      </c>
      <c r="K4" s="9" t="s">
        <v>232</v>
      </c>
      <c r="L4" s="9"/>
      <c r="M4" s="11" t="s">
        <v>6</v>
      </c>
      <c r="U4" s="460" t="s">
        <v>414</v>
      </c>
    </row>
    <row r="5" spans="1:21" x14ac:dyDescent="0.3">
      <c r="B5" s="533"/>
      <c r="C5" t="s">
        <v>163</v>
      </c>
      <c r="E5" s="13">
        <f>Tabelas_Dados_Op!B8</f>
        <v>48761</v>
      </c>
      <c r="F5" s="13">
        <f>Tabelas_Dados_Op!C8</f>
        <v>4876</v>
      </c>
      <c r="G5" s="13">
        <f>Tabelas_Dados_Op!D8</f>
        <v>53637</v>
      </c>
      <c r="H5" s="13">
        <f>Tabelas_Dados_Op!E8</f>
        <v>107274</v>
      </c>
      <c r="I5" s="13">
        <f>Tabelas_Dados_Op!F8</f>
        <v>0</v>
      </c>
      <c r="J5" s="13">
        <f>Tabelas_Dados_Op!G8</f>
        <v>24380</v>
      </c>
      <c r="K5" s="13">
        <f>Tabelas_Dados_Op!H8</f>
        <v>0</v>
      </c>
      <c r="L5" s="4"/>
      <c r="M5" s="14">
        <f>SUM(E5:K5)</f>
        <v>238928</v>
      </c>
      <c r="N5" s="426" t="s">
        <v>383</v>
      </c>
    </row>
    <row r="6" spans="1:21" x14ac:dyDescent="0.3">
      <c r="B6" s="533"/>
      <c r="C6" t="s">
        <v>9</v>
      </c>
      <c r="E6" s="15">
        <f>Tabelas_Dados_Op!B4</f>
        <v>10</v>
      </c>
      <c r="F6" s="15">
        <f>Tabelas_Dados_Op!C4</f>
        <v>1</v>
      </c>
      <c r="G6" s="15">
        <f>Tabelas_Dados_Op!D4</f>
        <v>11</v>
      </c>
      <c r="H6" s="15">
        <f>Tabelas_Dados_Op!E4</f>
        <v>22</v>
      </c>
      <c r="I6" s="15">
        <f>Tabelas_Dados_Op!F4</f>
        <v>0</v>
      </c>
      <c r="J6" s="15">
        <f>Tabelas_Dados_Op!G4</f>
        <v>5</v>
      </c>
      <c r="K6" s="15">
        <f>Tabelas_Dados_Op!H4</f>
        <v>0</v>
      </c>
      <c r="M6" s="16">
        <f>SUM(E6:K6)</f>
        <v>49</v>
      </c>
      <c r="N6" s="426" t="s">
        <v>384</v>
      </c>
      <c r="T6" s="359"/>
    </row>
    <row r="7" spans="1:21" x14ac:dyDescent="0.3">
      <c r="B7" s="533"/>
      <c r="C7" s="17" t="s">
        <v>10</v>
      </c>
      <c r="E7" s="15">
        <f>Tabelas_Dados_Op!B5</f>
        <v>8</v>
      </c>
      <c r="F7" s="15">
        <f>Tabelas_Dados_Op!C5</f>
        <v>1</v>
      </c>
      <c r="G7" s="15">
        <f>Tabelas_Dados_Op!D5</f>
        <v>7</v>
      </c>
      <c r="H7" s="15">
        <f>Tabelas_Dados_Op!E5</f>
        <v>22</v>
      </c>
      <c r="I7" s="15">
        <f>Tabelas_Dados_Op!F5</f>
        <v>0</v>
      </c>
      <c r="J7" s="15">
        <f>Tabelas_Dados_Op!G5</f>
        <v>6</v>
      </c>
      <c r="K7" s="15">
        <f>Tabelas_Dados_Op!H5</f>
        <v>0</v>
      </c>
      <c r="M7" s="16">
        <f>SUM(E7:K7)</f>
        <v>44</v>
      </c>
      <c r="N7" s="426" t="s">
        <v>385</v>
      </c>
      <c r="T7" s="359"/>
    </row>
    <row r="8" spans="1:21" x14ac:dyDescent="0.3">
      <c r="B8" s="533"/>
      <c r="E8" s="19"/>
      <c r="F8" s="19"/>
      <c r="G8" s="20">
        <v>0.65</v>
      </c>
      <c r="H8" s="19"/>
      <c r="I8" s="19"/>
      <c r="J8" s="19"/>
      <c r="K8" s="19"/>
      <c r="M8" s="16"/>
    </row>
    <row r="9" spans="1:21" x14ac:dyDescent="0.3">
      <c r="B9" s="533"/>
      <c r="C9" t="s">
        <v>11</v>
      </c>
      <c r="E9" s="19"/>
      <c r="F9" s="19"/>
      <c r="G9" s="19"/>
      <c r="H9" s="19"/>
      <c r="I9" s="19"/>
      <c r="J9" s="19"/>
      <c r="K9" s="19"/>
      <c r="M9" s="16">
        <f>Tabelas_Dados_Op!I10</f>
        <v>156909</v>
      </c>
    </row>
    <row r="10" spans="1:21" x14ac:dyDescent="0.3">
      <c r="B10" s="533"/>
      <c r="C10" t="s">
        <v>12</v>
      </c>
      <c r="E10" s="21">
        <f>IFERROR(E5/E7,0)</f>
        <v>6095.125</v>
      </c>
      <c r="F10" s="21">
        <f t="shared" ref="F10:K10" si="1">IFERROR(F5/F7,0)</f>
        <v>4876</v>
      </c>
      <c r="G10" s="21">
        <f t="shared" si="1"/>
        <v>7662.4285714285716</v>
      </c>
      <c r="H10" s="21">
        <f t="shared" si="1"/>
        <v>4876.090909090909</v>
      </c>
      <c r="I10" s="21">
        <f t="shared" si="1"/>
        <v>0</v>
      </c>
      <c r="J10" s="21">
        <f t="shared" si="1"/>
        <v>4063.3333333333335</v>
      </c>
      <c r="K10" s="21">
        <f t="shared" si="1"/>
        <v>0</v>
      </c>
      <c r="L10" s="19"/>
      <c r="M10" s="16">
        <f>M5/M7</f>
        <v>5430.181818181818</v>
      </c>
    </row>
    <row r="11" spans="1:21" x14ac:dyDescent="0.3">
      <c r="B11" s="534"/>
      <c r="C11" s="22"/>
      <c r="D11" s="23"/>
      <c r="E11" s="24"/>
      <c r="F11" s="24"/>
      <c r="G11" s="24"/>
      <c r="H11" s="24"/>
      <c r="I11" s="24"/>
      <c r="J11" s="24"/>
      <c r="K11" s="24"/>
      <c r="L11" s="22"/>
      <c r="M11" s="25"/>
      <c r="O11" s="335" t="s">
        <v>417</v>
      </c>
    </row>
    <row r="12" spans="1:21" x14ac:dyDescent="0.3">
      <c r="G12" s="26"/>
      <c r="N12" s="335" t="s">
        <v>374</v>
      </c>
      <c r="O12" s="335" t="s">
        <v>378</v>
      </c>
    </row>
    <row r="13" spans="1:21" x14ac:dyDescent="0.3">
      <c r="B13" s="535" t="s">
        <v>13</v>
      </c>
      <c r="C13" s="5"/>
      <c r="D13" s="6"/>
      <c r="E13" s="27"/>
      <c r="F13" s="27"/>
      <c r="G13" s="27"/>
      <c r="H13" s="27"/>
      <c r="I13" s="27"/>
      <c r="J13" s="27"/>
      <c r="K13" s="27"/>
      <c r="L13" s="5"/>
      <c r="M13" s="8"/>
    </row>
    <row r="14" spans="1:21" x14ac:dyDescent="0.3">
      <c r="A14" t="s">
        <v>14</v>
      </c>
      <c r="B14" s="536"/>
      <c r="C14" s="28" t="s">
        <v>15</v>
      </c>
      <c r="D14" s="29"/>
      <c r="E14" s="30">
        <f>E17*E5</f>
        <v>56315.688012999999</v>
      </c>
      <c r="F14" s="30">
        <f t="shared" ref="F14:K14" si="2">F17*F5</f>
        <v>7320.8893004000001</v>
      </c>
      <c r="G14" s="30">
        <f t="shared" si="2"/>
        <v>83390.382547500005</v>
      </c>
      <c r="H14" s="30">
        <f t="shared" si="2"/>
        <v>216814.99462350001</v>
      </c>
      <c r="I14" s="30">
        <f t="shared" si="2"/>
        <v>0</v>
      </c>
      <c r="J14" s="30">
        <f t="shared" si="2"/>
        <v>56314.533080000001</v>
      </c>
      <c r="K14" s="30">
        <f t="shared" si="2"/>
        <v>0</v>
      </c>
      <c r="L14" s="31"/>
      <c r="M14" s="32">
        <f>SUM(E14:K14)</f>
        <v>420156.48756440001</v>
      </c>
      <c r="N14" s="4">
        <v>420156.24</v>
      </c>
      <c r="O14" s="335">
        <f>N14-M14</f>
        <v>-0.24756440002238378</v>
      </c>
    </row>
    <row r="15" spans="1:21" x14ac:dyDescent="0.3">
      <c r="B15" s="536"/>
      <c r="C15" s="33" t="s">
        <v>16</v>
      </c>
      <c r="D15" s="34"/>
      <c r="E15" s="35">
        <f>Tabelas_Coeficientes!B4</f>
        <v>0.26</v>
      </c>
      <c r="F15" s="35">
        <f>Tabelas_Coeficientes!C4</f>
        <v>0.33800000000000002</v>
      </c>
      <c r="G15" s="35">
        <f>Tabelas_Coeficientes!D4</f>
        <v>0.35</v>
      </c>
      <c r="H15" s="35">
        <f>Tabelas_Coeficientes!E4</f>
        <v>0.45500000000000002</v>
      </c>
      <c r="I15" s="35">
        <f>Tabelas_Coeficientes!F4</f>
        <v>0.41</v>
      </c>
      <c r="J15" s="35">
        <f>Tabelas_Coeficientes!G4</f>
        <v>0.52</v>
      </c>
      <c r="K15" s="35">
        <f>Tabelas_Coeficientes!H4</f>
        <v>0.52</v>
      </c>
      <c r="L15" s="36"/>
      <c r="M15" s="37"/>
    </row>
    <row r="16" spans="1:21" x14ac:dyDescent="0.3">
      <c r="B16" s="536"/>
      <c r="C16" s="33" t="s">
        <v>17</v>
      </c>
      <c r="D16" s="38">
        <f>Tabelas_Prc_Insumos!D5</f>
        <v>4.4420500000000001</v>
      </c>
      <c r="E16" s="39"/>
      <c r="F16" s="39"/>
      <c r="G16" s="39"/>
      <c r="H16" s="39"/>
      <c r="I16" s="39"/>
      <c r="J16" s="39"/>
      <c r="K16" s="39"/>
      <c r="L16" s="36"/>
      <c r="M16" s="37"/>
    </row>
    <row r="17" spans="1:15" x14ac:dyDescent="0.3">
      <c r="B17" s="536"/>
      <c r="C17" s="33" t="s">
        <v>18</v>
      </c>
      <c r="D17" s="34"/>
      <c r="E17" s="41">
        <f>$D$16*E15</f>
        <v>1.154933</v>
      </c>
      <c r="F17" s="41">
        <f t="shared" ref="F17:K17" si="3">$D$16*F15</f>
        <v>1.5014129000000001</v>
      </c>
      <c r="G17" s="41">
        <f t="shared" si="3"/>
        <v>1.5547175</v>
      </c>
      <c r="H17" s="41">
        <f t="shared" si="3"/>
        <v>2.02113275</v>
      </c>
      <c r="I17" s="41">
        <f t="shared" si="3"/>
        <v>1.8212404999999998</v>
      </c>
      <c r="J17" s="41">
        <f t="shared" si="3"/>
        <v>2.309866</v>
      </c>
      <c r="K17" s="41">
        <f t="shared" si="3"/>
        <v>2.309866</v>
      </c>
      <c r="L17" s="36"/>
      <c r="M17" s="42">
        <f>M14/$M$5</f>
        <v>1.7585066947549053</v>
      </c>
    </row>
    <row r="18" spans="1:15" x14ac:dyDescent="0.3">
      <c r="B18" s="536"/>
      <c r="M18" s="43"/>
    </row>
    <row r="19" spans="1:15" x14ac:dyDescent="0.3">
      <c r="A19" t="s">
        <v>19</v>
      </c>
      <c r="B19" s="536"/>
      <c r="C19" s="28" t="s">
        <v>20</v>
      </c>
      <c r="D19" s="29"/>
      <c r="E19" s="44">
        <f>$D$20*$D$16*E5</f>
        <v>5631.5688012999999</v>
      </c>
      <c r="F19" s="44">
        <f t="shared" ref="F19:K19" si="4">$D$20*$D$16*F5</f>
        <v>563.14533080000001</v>
      </c>
      <c r="G19" s="44">
        <f t="shared" si="4"/>
        <v>6194.7141320999999</v>
      </c>
      <c r="H19" s="44">
        <f t="shared" si="4"/>
        <v>12389.4282642</v>
      </c>
      <c r="I19" s="44">
        <f t="shared" si="4"/>
        <v>0</v>
      </c>
      <c r="J19" s="44">
        <f t="shared" si="4"/>
        <v>2815.7266540000001</v>
      </c>
      <c r="K19" s="44">
        <f t="shared" si="4"/>
        <v>0</v>
      </c>
      <c r="L19" s="45"/>
      <c r="M19" s="32">
        <f>SUM(E19:K19)</f>
        <v>27594.583182399998</v>
      </c>
      <c r="N19" s="4">
        <v>27594.55</v>
      </c>
      <c r="O19" s="335">
        <f>N19-M19</f>
        <v>-3.3182399998622714E-2</v>
      </c>
    </row>
    <row r="20" spans="1:15" x14ac:dyDescent="0.3">
      <c r="B20" s="536"/>
      <c r="C20" s="33" t="s">
        <v>16</v>
      </c>
      <c r="D20" s="46">
        <f>Tabelas_Coeficientes!B5</f>
        <v>2.5999999999999999E-2</v>
      </c>
      <c r="E20" s="47"/>
      <c r="F20" s="47"/>
      <c r="G20" s="47"/>
      <c r="H20" s="47"/>
      <c r="I20" s="47"/>
      <c r="J20" s="47"/>
      <c r="K20" s="47"/>
      <c r="M20" s="43"/>
    </row>
    <row r="21" spans="1:15" x14ac:dyDescent="0.3">
      <c r="B21" s="536"/>
      <c r="C21" s="33" t="s">
        <v>18</v>
      </c>
      <c r="D21" s="48"/>
      <c r="E21" s="49">
        <f>IFERROR(E19/E5,0)</f>
        <v>0.11549329999999999</v>
      </c>
      <c r="F21" s="49">
        <f t="shared" ref="F21:K21" si="5">IFERROR(F19/F5,0)</f>
        <v>0.11549330000000001</v>
      </c>
      <c r="G21" s="49">
        <f t="shared" si="5"/>
        <v>0.11549329999999999</v>
      </c>
      <c r="H21" s="49">
        <f t="shared" si="5"/>
        <v>0.11549329999999999</v>
      </c>
      <c r="I21" s="49">
        <f t="shared" si="5"/>
        <v>0</v>
      </c>
      <c r="J21" s="49">
        <f t="shared" si="5"/>
        <v>0.11549330000000001</v>
      </c>
      <c r="K21" s="49">
        <f t="shared" si="5"/>
        <v>0</v>
      </c>
      <c r="M21" s="42">
        <f>M19/$M$5</f>
        <v>0.11549329999999999</v>
      </c>
    </row>
    <row r="22" spans="1:15" x14ac:dyDescent="0.3">
      <c r="B22" s="536"/>
      <c r="E22" s="26"/>
      <c r="F22" s="26"/>
      <c r="G22" s="26"/>
      <c r="H22" s="26"/>
      <c r="I22" s="26"/>
      <c r="J22" s="26"/>
      <c r="K22" s="26"/>
      <c r="M22" s="43"/>
    </row>
    <row r="23" spans="1:15" x14ac:dyDescent="0.3">
      <c r="A23" t="s">
        <v>21</v>
      </c>
      <c r="B23" s="536"/>
      <c r="C23" s="28" t="s">
        <v>22</v>
      </c>
      <c r="D23" s="29"/>
      <c r="E23" s="44">
        <f>E26*E5</f>
        <v>1146.078544</v>
      </c>
      <c r="F23" s="44">
        <f t="shared" ref="F23:K23" si="6">F26*F5</f>
        <v>148.98715520000002</v>
      </c>
      <c r="G23" s="44">
        <f t="shared" si="6"/>
        <v>1697.0746799999997</v>
      </c>
      <c r="H23" s="44">
        <f t="shared" si="6"/>
        <v>4412.3941679999998</v>
      </c>
      <c r="I23" s="44">
        <f t="shared" si="6"/>
        <v>0</v>
      </c>
      <c r="J23" s="44">
        <f t="shared" si="6"/>
        <v>1146.05504</v>
      </c>
      <c r="K23" s="44">
        <f t="shared" si="6"/>
        <v>0</v>
      </c>
      <c r="L23" s="45"/>
      <c r="M23" s="32">
        <f>SUM(E23:K23)</f>
        <v>8550.5895871999983</v>
      </c>
      <c r="N23" s="4">
        <v>8550.58</v>
      </c>
      <c r="O23" s="335">
        <f>N23-M23</f>
        <v>-9.5871999983501155E-3</v>
      </c>
    </row>
    <row r="24" spans="1:15" x14ac:dyDescent="0.3">
      <c r="B24" s="536"/>
      <c r="C24" s="33" t="s">
        <v>23</v>
      </c>
      <c r="D24" s="38">
        <f>Tabelas_Prc_Insumos!D6</f>
        <v>2.2599999999999998</v>
      </c>
      <c r="E24" s="47"/>
      <c r="F24" s="47"/>
      <c r="G24" s="47"/>
      <c r="H24" s="47"/>
      <c r="I24" s="47"/>
      <c r="J24" s="47"/>
      <c r="K24" s="47"/>
      <c r="M24" s="43"/>
    </row>
    <row r="25" spans="1:15" x14ac:dyDescent="0.3">
      <c r="B25" s="536"/>
      <c r="C25" s="33" t="s">
        <v>16</v>
      </c>
      <c r="D25" s="50">
        <f>Tabelas_Coeficientes!B6</f>
        <v>0.04</v>
      </c>
      <c r="E25" s="47"/>
      <c r="F25" s="47"/>
      <c r="G25" s="47"/>
      <c r="H25" s="47"/>
      <c r="I25" s="47"/>
      <c r="J25" s="47"/>
      <c r="K25" s="47"/>
      <c r="M25" s="43"/>
    </row>
    <row r="26" spans="1:15" x14ac:dyDescent="0.3">
      <c r="B26" s="536"/>
      <c r="C26" s="33" t="s">
        <v>18</v>
      </c>
      <c r="D26" s="48"/>
      <c r="E26" s="49">
        <f>$D$25*$D$24*E15</f>
        <v>2.3504000000000001E-2</v>
      </c>
      <c r="F26" s="49">
        <f t="shared" ref="F26:K26" si="7">$D$25*$D$24*F15</f>
        <v>3.0555200000000001E-2</v>
      </c>
      <c r="G26" s="49">
        <f t="shared" si="7"/>
        <v>3.1639999999999995E-2</v>
      </c>
      <c r="H26" s="49">
        <f t="shared" si="7"/>
        <v>4.1132000000000002E-2</v>
      </c>
      <c r="I26" s="49">
        <f t="shared" si="7"/>
        <v>3.7063999999999993E-2</v>
      </c>
      <c r="J26" s="49">
        <f t="shared" si="7"/>
        <v>4.7008000000000001E-2</v>
      </c>
      <c r="K26" s="49">
        <f t="shared" si="7"/>
        <v>4.7008000000000001E-2</v>
      </c>
      <c r="M26" s="42">
        <f>M23/$M$5</f>
        <v>3.5787306582736211E-2</v>
      </c>
    </row>
    <row r="27" spans="1:15" x14ac:dyDescent="0.3">
      <c r="B27" s="536"/>
      <c r="G27" s="51"/>
      <c r="M27" s="43"/>
    </row>
    <row r="28" spans="1:15" x14ac:dyDescent="0.3">
      <c r="A28" t="s">
        <v>24</v>
      </c>
      <c r="B28" s="536"/>
      <c r="C28" s="28" t="s">
        <v>25</v>
      </c>
      <c r="D28" s="29"/>
      <c r="E28" s="44">
        <f>$M$28*E5/$M$5</f>
        <v>8801.4294022783688</v>
      </c>
      <c r="F28" s="44">
        <f t="shared" ref="F28:K28" si="8">$M$28*F5/$M$5</f>
        <v>880.12489008653085</v>
      </c>
      <c r="G28" s="44">
        <f t="shared" si="8"/>
        <v>9681.5542923648991</v>
      </c>
      <c r="H28" s="44">
        <f t="shared" si="8"/>
        <v>19363.108584729798</v>
      </c>
      <c r="I28" s="44">
        <f t="shared" si="8"/>
        <v>0</v>
      </c>
      <c r="J28" s="44">
        <f t="shared" si="8"/>
        <v>4400.6244504326542</v>
      </c>
      <c r="K28" s="44">
        <f t="shared" si="8"/>
        <v>0</v>
      </c>
      <c r="L28" s="45"/>
      <c r="M28" s="32">
        <f>M36*M5/M6</f>
        <v>43126.841619892257</v>
      </c>
      <c r="N28" s="4">
        <v>40942.959999999999</v>
      </c>
      <c r="O28" s="335">
        <f>N28-M28</f>
        <v>-2183.8816198922577</v>
      </c>
    </row>
    <row r="29" spans="1:15" x14ac:dyDescent="0.3">
      <c r="B29" s="536"/>
      <c r="C29" s="33" t="s">
        <v>26</v>
      </c>
      <c r="D29" s="34"/>
      <c r="E29" s="52">
        <f>Tabelas_Prc_Insumos!D7</f>
        <v>1224.53</v>
      </c>
      <c r="F29" s="52">
        <f>Tabelas_Prc_Insumos!E7</f>
        <v>1224.53</v>
      </c>
      <c r="G29" s="52">
        <f>Tabelas_Prc_Insumos!F8</f>
        <v>1731.53</v>
      </c>
      <c r="H29" s="52">
        <f>Tabelas_Prc_Insumos!G8</f>
        <v>1731.53</v>
      </c>
      <c r="I29" s="52">
        <f>Tabelas_Prc_Insumos!H8</f>
        <v>1731.53</v>
      </c>
      <c r="J29" s="52">
        <f>Tabelas_Prc_Insumos!I8</f>
        <v>1731.53</v>
      </c>
      <c r="K29" s="52">
        <f>Tabelas_Prc_Insumos!J9</f>
        <v>1762.72</v>
      </c>
      <c r="L29" s="34"/>
      <c r="M29" s="53"/>
    </row>
    <row r="30" spans="1:15" x14ac:dyDescent="0.3">
      <c r="B30" s="536"/>
      <c r="C30" s="33" t="s">
        <v>27</v>
      </c>
      <c r="D30" s="34"/>
      <c r="E30" s="54">
        <f>Tabelas_Prc_Insumos!D10</f>
        <v>615.6</v>
      </c>
      <c r="F30" s="54">
        <f>Tabelas_Prc_Insumos!E10</f>
        <v>615.6</v>
      </c>
      <c r="G30" s="54">
        <f>Tabelas_Prc_Insumos!F11</f>
        <v>690</v>
      </c>
      <c r="H30" s="54">
        <f>Tabelas_Prc_Insumos!G11</f>
        <v>690</v>
      </c>
      <c r="I30" s="54">
        <f>Tabelas_Prc_Insumos!H11</f>
        <v>690</v>
      </c>
      <c r="J30" s="54">
        <f>Tabelas_Prc_Insumos!I11</f>
        <v>690</v>
      </c>
      <c r="K30" s="54">
        <f>Tabelas_Prc_Insumos!J12</f>
        <v>690</v>
      </c>
      <c r="L30" s="34"/>
      <c r="M30" s="53"/>
    </row>
    <row r="31" spans="1:15" x14ac:dyDescent="0.3">
      <c r="B31" s="536"/>
      <c r="C31" s="33" t="s">
        <v>28</v>
      </c>
      <c r="D31" s="34"/>
      <c r="E31" s="55">
        <f>Tabelas_Coeficientes!B7</f>
        <v>6</v>
      </c>
      <c r="F31" s="55">
        <f>Tabelas_Coeficientes!C7</f>
        <v>6</v>
      </c>
      <c r="G31" s="55">
        <f>Tabelas_Coeficientes!D7</f>
        <v>6</v>
      </c>
      <c r="H31" s="55">
        <f>Tabelas_Coeficientes!E7</f>
        <v>6</v>
      </c>
      <c r="I31" s="55">
        <f>Tabelas_Coeficientes!F7</f>
        <v>6</v>
      </c>
      <c r="J31" s="55">
        <f>Tabelas_Coeficientes!G7</f>
        <v>6</v>
      </c>
      <c r="K31" s="55">
        <f>Tabelas_Coeficientes!H7</f>
        <v>6</v>
      </c>
      <c r="L31" s="34"/>
      <c r="M31" s="53"/>
    </row>
    <row r="32" spans="1:15" x14ac:dyDescent="0.3">
      <c r="B32" s="536"/>
      <c r="C32" s="33" t="s">
        <v>29</v>
      </c>
      <c r="D32" s="34"/>
      <c r="E32" s="55">
        <f>Tabelas_Coeficientes!B8</f>
        <v>3</v>
      </c>
      <c r="F32" s="55">
        <f>Tabelas_Coeficientes!C8</f>
        <v>3</v>
      </c>
      <c r="G32" s="55">
        <f>Tabelas_Coeficientes!D8</f>
        <v>3</v>
      </c>
      <c r="H32" s="55">
        <f>Tabelas_Coeficientes!E8</f>
        <v>3</v>
      </c>
      <c r="I32" s="55">
        <f>Tabelas_Coeficientes!F8</f>
        <v>3</v>
      </c>
      <c r="J32" s="55">
        <f>Tabelas_Coeficientes!G8</f>
        <v>3</v>
      </c>
      <c r="K32" s="55">
        <f>Tabelas_Coeficientes!H8</f>
        <v>3</v>
      </c>
      <c r="L32" s="34"/>
      <c r="M32" s="53"/>
    </row>
    <row r="33" spans="1:16" x14ac:dyDescent="0.3">
      <c r="B33" s="536"/>
      <c r="C33" s="33" t="s">
        <v>30</v>
      </c>
      <c r="D33" s="34"/>
      <c r="E33" s="40">
        <f>E31*E29</f>
        <v>7347.18</v>
      </c>
      <c r="F33" s="40">
        <f t="shared" ref="F33:K33" si="9">F31*F29</f>
        <v>7347.18</v>
      </c>
      <c r="G33" s="40">
        <f t="shared" si="9"/>
        <v>10389.18</v>
      </c>
      <c r="H33" s="40">
        <f t="shared" si="9"/>
        <v>10389.18</v>
      </c>
      <c r="I33" s="40">
        <f t="shared" si="9"/>
        <v>10389.18</v>
      </c>
      <c r="J33" s="40">
        <f t="shared" si="9"/>
        <v>10389.18</v>
      </c>
      <c r="K33" s="40">
        <f t="shared" si="9"/>
        <v>10576.32</v>
      </c>
      <c r="L33" s="34"/>
    </row>
    <row r="34" spans="1:16" x14ac:dyDescent="0.3">
      <c r="B34" s="536"/>
      <c r="C34" s="33" t="s">
        <v>31</v>
      </c>
      <c r="D34" s="34"/>
      <c r="E34" s="40">
        <f>E30*E31*E32</f>
        <v>11080.800000000001</v>
      </c>
      <c r="F34" s="40">
        <f t="shared" ref="F34:K34" si="10">F30*F31*F32</f>
        <v>11080.800000000001</v>
      </c>
      <c r="G34" s="40">
        <f t="shared" si="10"/>
        <v>12420</v>
      </c>
      <c r="H34" s="40">
        <f t="shared" si="10"/>
        <v>12420</v>
      </c>
      <c r="I34" s="40">
        <f t="shared" si="10"/>
        <v>12420</v>
      </c>
      <c r="J34" s="40">
        <f t="shared" si="10"/>
        <v>12420</v>
      </c>
      <c r="K34" s="40">
        <f t="shared" si="10"/>
        <v>12420</v>
      </c>
      <c r="L34" s="34"/>
      <c r="M34" s="53"/>
    </row>
    <row r="35" spans="1:16" x14ac:dyDescent="0.3">
      <c r="B35" s="536"/>
      <c r="C35" s="33" t="s">
        <v>32</v>
      </c>
      <c r="D35" s="34"/>
      <c r="E35" s="56">
        <f>Tabelas_Coeficientes!B9</f>
        <v>125000</v>
      </c>
      <c r="F35" s="56">
        <f>Tabelas_Coeficientes!C9</f>
        <v>125000</v>
      </c>
      <c r="G35" s="56">
        <f>Tabelas_Coeficientes!D9</f>
        <v>120000</v>
      </c>
      <c r="H35" s="56">
        <f>Tabelas_Coeficientes!E9</f>
        <v>120000</v>
      </c>
      <c r="I35" s="56">
        <f>Tabelas_Coeficientes!F9</f>
        <v>120000</v>
      </c>
      <c r="J35" s="56">
        <f>Tabelas_Coeficientes!G9</f>
        <v>120000</v>
      </c>
      <c r="K35" s="56">
        <f>Tabelas_Coeficientes!H9</f>
        <v>125000</v>
      </c>
      <c r="L35" s="34"/>
      <c r="M35" s="53"/>
    </row>
    <row r="36" spans="1:16" x14ac:dyDescent="0.3">
      <c r="B36" s="536"/>
      <c r="C36" s="33" t="s">
        <v>33</v>
      </c>
      <c r="D36" s="34"/>
      <c r="E36" s="35">
        <f>IFERROR(SUM(E33:E34)/E35*E6,0)</f>
        <v>1.4742384000000004</v>
      </c>
      <c r="F36" s="35">
        <f t="shared" ref="F36:K36" si="11">IFERROR(SUM(F33:F34)/F35*F6,0)</f>
        <v>0.14742384000000003</v>
      </c>
      <c r="G36" s="424">
        <f>IFERROR(SUM(G33:G34)/G35*G6,0)</f>
        <v>2.0908415000000002</v>
      </c>
      <c r="H36" s="35">
        <f t="shared" si="11"/>
        <v>4.1816830000000005</v>
      </c>
      <c r="I36" s="35">
        <f t="shared" si="11"/>
        <v>0</v>
      </c>
      <c r="J36" s="35">
        <f t="shared" si="11"/>
        <v>0.95038250000000002</v>
      </c>
      <c r="K36" s="35">
        <f t="shared" si="11"/>
        <v>0</v>
      </c>
      <c r="L36" s="34"/>
      <c r="M36" s="57">
        <f>SUM(E36:K36)</f>
        <v>8.844569240000002</v>
      </c>
      <c r="N36" s="426" t="s">
        <v>392</v>
      </c>
    </row>
    <row r="37" spans="1:16" x14ac:dyDescent="0.3">
      <c r="B37" s="536"/>
      <c r="C37" s="33" t="s">
        <v>18</v>
      </c>
      <c r="D37" s="34"/>
      <c r="E37" s="58">
        <f>IFERROR(E28/E5,0)</f>
        <v>0.18050141306122452</v>
      </c>
      <c r="F37" s="58">
        <f t="shared" ref="F37:K37" si="12">IFERROR(F28/F5,0)</f>
        <v>0.18050141306122455</v>
      </c>
      <c r="G37" s="58">
        <f t="shared" si="12"/>
        <v>0.1805014130612245</v>
      </c>
      <c r="H37" s="58">
        <f t="shared" si="12"/>
        <v>0.1805014130612245</v>
      </c>
      <c r="I37" s="58">
        <f t="shared" si="12"/>
        <v>0</v>
      </c>
      <c r="J37" s="58">
        <f t="shared" si="12"/>
        <v>0.18050141306122452</v>
      </c>
      <c r="K37" s="58">
        <f t="shared" si="12"/>
        <v>0</v>
      </c>
      <c r="L37" s="59"/>
      <c r="M37" s="57">
        <f>M28/M5</f>
        <v>0.18050141306122455</v>
      </c>
    </row>
    <row r="38" spans="1:16" x14ac:dyDescent="0.3">
      <c r="B38" s="536"/>
      <c r="M38" s="43"/>
    </row>
    <row r="39" spans="1:16" x14ac:dyDescent="0.3">
      <c r="A39" t="s">
        <v>34</v>
      </c>
      <c r="B39" s="536"/>
      <c r="C39" s="28" t="s">
        <v>35</v>
      </c>
      <c r="D39" s="29"/>
      <c r="E39" s="30">
        <f>E40*$D41/12</f>
        <v>54755.573999999993</v>
      </c>
      <c r="F39" s="30">
        <f t="shared" ref="F39:K39" si="13">F40*$D41/12</f>
        <v>3650.3715999999999</v>
      </c>
      <c r="G39" s="30">
        <f t="shared" si="13"/>
        <v>80308.175199999983</v>
      </c>
      <c r="H39" s="30">
        <f t="shared" si="13"/>
        <v>80308.175199999983</v>
      </c>
      <c r="I39" s="30">
        <f>I40*$D41/12</f>
        <v>0</v>
      </c>
      <c r="J39" s="30">
        <f>J40*$D41/12</f>
        <v>18251.857999999997</v>
      </c>
      <c r="K39" s="30">
        <f t="shared" si="13"/>
        <v>0</v>
      </c>
      <c r="L39" s="45"/>
      <c r="M39" s="32">
        <f>SUM(E39:K39)</f>
        <v>237274.15399999998</v>
      </c>
      <c r="N39" s="4">
        <v>237274.15</v>
      </c>
      <c r="O39" s="335">
        <f>N39-M39</f>
        <v>-3.999999986262992E-3</v>
      </c>
    </row>
    <row r="40" spans="1:16" x14ac:dyDescent="0.3">
      <c r="B40" s="536"/>
      <c r="C40" s="33" t="s">
        <v>16</v>
      </c>
      <c r="E40" s="60">
        <f>Tabelas_Coeficientes!B10</f>
        <v>0.89999999999999991</v>
      </c>
      <c r="F40" s="60">
        <f>Tabelas_Coeficientes!C10</f>
        <v>0.06</v>
      </c>
      <c r="G40" s="60">
        <f>Tabelas_Coeficientes!D10</f>
        <v>1.3199999999999998</v>
      </c>
      <c r="H40" s="60">
        <f>Tabelas_Coeficientes!E10</f>
        <v>1.3199999999999998</v>
      </c>
      <c r="I40" s="60">
        <f>Tabelas_Coeficientes!F10</f>
        <v>0</v>
      </c>
      <c r="J40" s="60">
        <f>Tabelas_Coeficientes!G10</f>
        <v>0.3</v>
      </c>
      <c r="K40" s="60">
        <f>Tabelas_Coeficientes!H10</f>
        <v>0</v>
      </c>
      <c r="L40" s="60"/>
      <c r="M40" s="423">
        <f>SUM(E40:K40)</f>
        <v>3.8999999999999995</v>
      </c>
    </row>
    <row r="41" spans="1:16" x14ac:dyDescent="0.3">
      <c r="B41" s="536"/>
      <c r="C41" s="33" t="s">
        <v>36</v>
      </c>
      <c r="D41" s="468">
        <v>730074.32</v>
      </c>
      <c r="M41" s="61"/>
      <c r="N41" s="426" t="s">
        <v>381</v>
      </c>
      <c r="O41" s="335">
        <f>N39*12/D41</f>
        <v>3.8999999342532687</v>
      </c>
      <c r="P41" s="426" t="s">
        <v>398</v>
      </c>
    </row>
    <row r="42" spans="1:16" x14ac:dyDescent="0.3">
      <c r="B42" s="536"/>
      <c r="C42" s="33" t="s">
        <v>18</v>
      </c>
      <c r="E42" s="62">
        <f t="shared" ref="E42:K42" si="14">IFERROR(E39/E5,0)</f>
        <v>1.1229378806833328</v>
      </c>
      <c r="F42" s="62">
        <f t="shared" si="14"/>
        <v>0.74864060705496305</v>
      </c>
      <c r="G42" s="62">
        <f t="shared" si="14"/>
        <v>1.4972532990286553</v>
      </c>
      <c r="H42" s="62">
        <f t="shared" si="14"/>
        <v>0.74862664951432767</v>
      </c>
      <c r="I42" s="62">
        <f t="shared" si="14"/>
        <v>0</v>
      </c>
      <c r="J42" s="62">
        <f t="shared" si="14"/>
        <v>0.74864060705496294</v>
      </c>
      <c r="K42" s="62">
        <f t="shared" si="14"/>
        <v>0</v>
      </c>
      <c r="L42" s="62"/>
      <c r="M42" s="63">
        <f>M39/M5</f>
        <v>0.9930780569878791</v>
      </c>
      <c r="N42" s="426" t="s">
        <v>382</v>
      </c>
    </row>
    <row r="43" spans="1:16" x14ac:dyDescent="0.3">
      <c r="B43" s="536"/>
      <c r="C43" s="33"/>
      <c r="E43" s="64"/>
      <c r="F43" s="64"/>
      <c r="G43" s="64"/>
      <c r="H43" s="64"/>
      <c r="I43" s="64"/>
      <c r="J43" s="64"/>
      <c r="K43" s="64"/>
      <c r="M43" s="43"/>
    </row>
    <row r="44" spans="1:16" x14ac:dyDescent="0.3">
      <c r="A44" t="s">
        <v>37</v>
      </c>
      <c r="B44" s="536"/>
      <c r="C44" s="28" t="s">
        <v>38</v>
      </c>
      <c r="D44" s="29"/>
      <c r="E44" s="30">
        <f>$D45*$D46*E6/12</f>
        <v>7604.940833333334</v>
      </c>
      <c r="F44" s="30">
        <f t="shared" ref="F44:K44" si="15">$D45*$D46*F6/12</f>
        <v>760.49408333333338</v>
      </c>
      <c r="G44" s="30">
        <f t="shared" si="15"/>
        <v>8365.434916666667</v>
      </c>
      <c r="H44" s="30">
        <f t="shared" si="15"/>
        <v>16730.869833333334</v>
      </c>
      <c r="I44" s="30">
        <f t="shared" si="15"/>
        <v>0</v>
      </c>
      <c r="J44" s="30">
        <f t="shared" si="15"/>
        <v>3802.470416666667</v>
      </c>
      <c r="K44" s="30">
        <f t="shared" si="15"/>
        <v>0</v>
      </c>
      <c r="L44" s="31"/>
      <c r="M44" s="32">
        <f>SUM(E44:K44)</f>
        <v>37264.210083333339</v>
      </c>
      <c r="N44" s="4">
        <v>37264.21</v>
      </c>
      <c r="O44" s="335">
        <f>N44-M44</f>
        <v>-8.333333971677348E-5</v>
      </c>
    </row>
    <row r="45" spans="1:16" x14ac:dyDescent="0.3">
      <c r="B45" s="536"/>
      <c r="C45" s="33" t="s">
        <v>16</v>
      </c>
      <c r="D45" s="65">
        <f>Tabelas_Coeficientes!B11</f>
        <v>1.2500000000000001E-2</v>
      </c>
      <c r="E45" s="35"/>
      <c r="F45" s="35"/>
      <c r="G45" s="35"/>
      <c r="H45" s="35"/>
      <c r="I45" s="35"/>
      <c r="J45" s="35"/>
      <c r="K45" s="35"/>
      <c r="L45" s="36"/>
      <c r="M45" s="37"/>
    </row>
    <row r="46" spans="1:16" x14ac:dyDescent="0.3">
      <c r="B46" s="536"/>
      <c r="C46" s="33" t="s">
        <v>36</v>
      </c>
      <c r="D46" s="422">
        <f>D41</f>
        <v>730074.32</v>
      </c>
      <c r="E46" s="39"/>
      <c r="F46" s="39"/>
      <c r="G46" s="40"/>
      <c r="H46" s="39"/>
      <c r="I46" s="39"/>
      <c r="J46" s="39"/>
      <c r="K46" s="39"/>
      <c r="L46" s="36"/>
      <c r="M46" s="37"/>
    </row>
    <row r="47" spans="1:16" x14ac:dyDescent="0.3">
      <c r="B47" s="536"/>
      <c r="C47" s="33" t="s">
        <v>18</v>
      </c>
      <c r="D47" s="34"/>
      <c r="E47" s="48">
        <f t="shared" ref="E47:K47" si="16">IFERROR(E44/E5,0)</f>
        <v>0.15596359453935182</v>
      </c>
      <c r="F47" s="48">
        <f t="shared" si="16"/>
        <v>0.15596679313645065</v>
      </c>
      <c r="G47" s="48">
        <f t="shared" si="16"/>
        <v>0.15596388531548497</v>
      </c>
      <c r="H47" s="48">
        <f t="shared" si="16"/>
        <v>0.15596388531548497</v>
      </c>
      <c r="I47" s="48">
        <f t="shared" si="16"/>
        <v>0</v>
      </c>
      <c r="J47" s="48">
        <f t="shared" si="16"/>
        <v>0.15596679313645065</v>
      </c>
      <c r="K47" s="48">
        <f t="shared" si="16"/>
        <v>0</v>
      </c>
      <c r="L47" s="36"/>
      <c r="M47" s="42">
        <f>M44/$M$5</f>
        <v>0.15596418202694259</v>
      </c>
    </row>
    <row r="48" spans="1:16" x14ac:dyDescent="0.3">
      <c r="B48" s="536"/>
      <c r="C48" s="33"/>
      <c r="D48" s="34"/>
      <c r="E48" s="41"/>
      <c r="F48" s="41"/>
      <c r="G48" s="35"/>
      <c r="H48" s="41"/>
      <c r="I48" s="41"/>
      <c r="J48" s="41"/>
      <c r="K48" s="41"/>
      <c r="L48" s="36"/>
      <c r="M48" s="42"/>
    </row>
    <row r="49" spans="1:15" x14ac:dyDescent="0.3">
      <c r="B49" s="537"/>
      <c r="C49" s="28" t="s">
        <v>39</v>
      </c>
      <c r="D49" s="29"/>
      <c r="E49" s="28"/>
      <c r="F49" s="28"/>
      <c r="G49" s="28"/>
      <c r="H49" s="28"/>
      <c r="I49" s="28"/>
      <c r="J49" s="28"/>
      <c r="K49" s="28"/>
      <c r="L49" s="22"/>
      <c r="M49" s="66">
        <f>SUM(M14,M19,M23,M28,M39,M44)</f>
        <v>773966.86603722558</v>
      </c>
      <c r="N49" s="4">
        <f>SUM(N14+N19+N23+N28+N39+N44)</f>
        <v>771782.69</v>
      </c>
      <c r="O49" s="335">
        <f>N49-M49</f>
        <v>-2184.1760372256394</v>
      </c>
    </row>
    <row r="51" spans="1:15" x14ac:dyDescent="0.3">
      <c r="B51" s="535" t="s">
        <v>40</v>
      </c>
      <c r="C51" s="5"/>
      <c r="D51" s="6"/>
      <c r="E51" s="5"/>
      <c r="F51" s="5"/>
      <c r="G51" s="5"/>
      <c r="H51" s="5"/>
      <c r="I51" s="5"/>
      <c r="J51" s="5"/>
      <c r="K51" s="5"/>
      <c r="L51" s="5"/>
      <c r="M51" s="8"/>
    </row>
    <row r="52" spans="1:15" x14ac:dyDescent="0.3">
      <c r="A52" t="s">
        <v>41</v>
      </c>
      <c r="B52" s="536"/>
      <c r="C52" s="28" t="s">
        <v>42</v>
      </c>
      <c r="D52" s="29"/>
      <c r="E52" s="67">
        <f>IFERROR(E59*E60,0)</f>
        <v>12481.440545454549</v>
      </c>
      <c r="F52" s="67">
        <f t="shared" ref="F52:K52" si="17">IFERROR(F59*F60,0)</f>
        <v>6328.4664272727277</v>
      </c>
      <c r="G52" s="67">
        <f t="shared" si="17"/>
        <v>0</v>
      </c>
      <c r="H52" s="67">
        <f t="shared" si="17"/>
        <v>196265.38139999998</v>
      </c>
      <c r="I52" s="67">
        <f t="shared" si="17"/>
        <v>0</v>
      </c>
      <c r="J52" s="67">
        <f t="shared" si="17"/>
        <v>47311.904863636359</v>
      </c>
      <c r="K52" s="67">
        <f t="shared" si="17"/>
        <v>0</v>
      </c>
      <c r="L52" s="45"/>
      <c r="M52" s="68">
        <f>SUM(E52:L52)</f>
        <v>262387.19323636359</v>
      </c>
      <c r="N52" s="4">
        <v>262810.06</v>
      </c>
      <c r="O52" s="335">
        <f>N52-M52</f>
        <v>422.86676363641163</v>
      </c>
    </row>
    <row r="53" spans="1:15" x14ac:dyDescent="0.3">
      <c r="B53" s="536"/>
      <c r="C53" s="33" t="s">
        <v>43</v>
      </c>
      <c r="D53" s="34"/>
      <c r="E53" s="69">
        <f>Tabelas_Coeficientes!B27</f>
        <v>10</v>
      </c>
      <c r="F53" s="69">
        <f>Tabelas_Coeficientes!C27</f>
        <v>10</v>
      </c>
      <c r="G53" s="69">
        <f>Tabelas_Coeficientes!D27</f>
        <v>10</v>
      </c>
      <c r="H53" s="69">
        <f>Tabelas_Coeficientes!E27</f>
        <v>10</v>
      </c>
      <c r="I53" s="69">
        <f>Tabelas_Coeficientes!F27</f>
        <v>10</v>
      </c>
      <c r="J53" s="69">
        <f>Tabelas_Coeficientes!G27</f>
        <v>10</v>
      </c>
      <c r="K53" s="69">
        <f>Tabelas_Coeficientes!H27</f>
        <v>12</v>
      </c>
      <c r="L53" s="34"/>
      <c r="M53" s="53"/>
    </row>
    <row r="54" spans="1:15" x14ac:dyDescent="0.3">
      <c r="B54" s="536"/>
      <c r="C54" s="33" t="s">
        <v>44</v>
      </c>
      <c r="D54" s="34"/>
      <c r="E54" s="70">
        <f>Tabelas_Coeficientes!B28</f>
        <v>0.1</v>
      </c>
      <c r="F54" s="70">
        <f>Tabelas_Coeficientes!C28</f>
        <v>0.1</v>
      </c>
      <c r="G54" s="70">
        <f>Tabelas_Coeficientes!D28</f>
        <v>0.1</v>
      </c>
      <c r="H54" s="70">
        <f>Tabelas_Coeficientes!E28</f>
        <v>0.1</v>
      </c>
      <c r="I54" s="70">
        <f>Tabelas_Coeficientes!F28</f>
        <v>0.1</v>
      </c>
      <c r="J54" s="70">
        <f>Tabelas_Coeficientes!G28</f>
        <v>0.1</v>
      </c>
      <c r="K54" s="70">
        <f>Tabelas_Coeficientes!H28</f>
        <v>0.1</v>
      </c>
      <c r="L54" s="71"/>
      <c r="M54" s="53"/>
    </row>
    <row r="55" spans="1:15" x14ac:dyDescent="0.3">
      <c r="B55" s="536"/>
      <c r="C55" s="33" t="s">
        <v>45</v>
      </c>
      <c r="D55" s="34"/>
      <c r="E55" s="39">
        <f>Tabelas_Prc_Insumos!D30</f>
        <v>465000</v>
      </c>
      <c r="F55" s="39">
        <f>Tabelas_Prc_Insumos!E30</f>
        <v>523000</v>
      </c>
      <c r="G55" s="39">
        <f>Tabelas_Prc_Insumos!F30</f>
        <v>692298</v>
      </c>
      <c r="H55" s="39">
        <f>Tabelas_Prc_Insumos!G30</f>
        <v>737298</v>
      </c>
      <c r="I55" s="39">
        <f>Tabelas_Prc_Insumos!H30</f>
        <v>736398</v>
      </c>
      <c r="J55" s="39">
        <f>Tabelas_Prc_Insumos!I30</f>
        <v>781398</v>
      </c>
      <c r="K55" s="39">
        <f>Tabelas_Prc_Insumos!J30</f>
        <v>781398</v>
      </c>
      <c r="L55" s="71"/>
      <c r="M55" s="53"/>
    </row>
    <row r="56" spans="1:15" x14ac:dyDescent="0.3">
      <c r="B56" s="536"/>
      <c r="C56" s="33" t="s">
        <v>46</v>
      </c>
      <c r="D56" s="34"/>
      <c r="E56" s="39">
        <f>E55-E31*E29</f>
        <v>457652.82</v>
      </c>
      <c r="F56" s="39">
        <f t="shared" ref="F56:K56" si="18">F55-F31*F29</f>
        <v>515652.82</v>
      </c>
      <c r="G56" s="39">
        <f t="shared" si="18"/>
        <v>681908.82</v>
      </c>
      <c r="H56" s="39">
        <f>H55-H31*H29</f>
        <v>726908.82</v>
      </c>
      <c r="I56" s="39">
        <f t="shared" si="18"/>
        <v>726008.82</v>
      </c>
      <c r="J56" s="39">
        <f t="shared" si="18"/>
        <v>771008.82</v>
      </c>
      <c r="K56" s="39">
        <f t="shared" si="18"/>
        <v>770821.68</v>
      </c>
      <c r="L56" s="34"/>
      <c r="M56" s="53"/>
    </row>
    <row r="57" spans="1:15" x14ac:dyDescent="0.3">
      <c r="B57" s="536"/>
      <c r="C57" s="33" t="s">
        <v>7</v>
      </c>
      <c r="D57" s="34"/>
      <c r="E57" s="48">
        <f>'Dep. e Rem. Frota'!F44</f>
        <v>0.32727272727272727</v>
      </c>
      <c r="F57" s="48">
        <f>'Dep. e Rem. Frota'!G44</f>
        <v>0.14727272727272728</v>
      </c>
      <c r="G57" s="48">
        <f>'Dep. e Rem. Frota'!H44</f>
        <v>0</v>
      </c>
      <c r="H57" s="48">
        <f>'Dep. e Rem. Frota'!I44</f>
        <v>3.24</v>
      </c>
      <c r="I57" s="48">
        <f>'Dep. e Rem. Frota'!J44</f>
        <v>0</v>
      </c>
      <c r="J57" s="48">
        <f>'Dep. e Rem. Frota'!K44</f>
        <v>0.73636363636363633</v>
      </c>
      <c r="K57" s="48">
        <f>'Dep. e Rem. Frota'!L44</f>
        <v>0</v>
      </c>
      <c r="L57" s="34"/>
      <c r="M57" s="53"/>
    </row>
    <row r="58" spans="1:15" x14ac:dyDescent="0.3">
      <c r="B58" s="536"/>
      <c r="C58" s="33" t="s">
        <v>47</v>
      </c>
      <c r="D58" s="34"/>
      <c r="E58" s="39">
        <f>E56*E57</f>
        <v>149777.28654545455</v>
      </c>
      <c r="F58" s="39">
        <f t="shared" ref="F58:K58" si="19">F56*F57</f>
        <v>75941.597127272733</v>
      </c>
      <c r="G58" s="39">
        <f t="shared" si="19"/>
        <v>0</v>
      </c>
      <c r="H58" s="39">
        <f t="shared" si="19"/>
        <v>2355184.5767999999</v>
      </c>
      <c r="I58" s="39">
        <f t="shared" si="19"/>
        <v>0</v>
      </c>
      <c r="J58" s="39">
        <f t="shared" si="19"/>
        <v>567742.8583636363</v>
      </c>
      <c r="K58" s="39">
        <f t="shared" si="19"/>
        <v>0</v>
      </c>
      <c r="L58" s="34"/>
      <c r="M58" s="53"/>
    </row>
    <row r="59" spans="1:15" x14ac:dyDescent="0.3">
      <c r="B59" s="536"/>
      <c r="C59" s="33" t="s">
        <v>48</v>
      </c>
      <c r="D59" s="34"/>
      <c r="E59" s="39">
        <f>IFERROR(E58/12/E60,0)</f>
        <v>1248.1440545454548</v>
      </c>
      <c r="F59" s="39">
        <f t="shared" ref="F59:K59" si="20">IFERROR(F58/12/F60,0)</f>
        <v>6328.4664272727277</v>
      </c>
      <c r="G59" s="39">
        <f t="shared" si="20"/>
        <v>0</v>
      </c>
      <c r="H59" s="39">
        <f t="shared" si="20"/>
        <v>8921.1536999999989</v>
      </c>
      <c r="I59" s="39">
        <f t="shared" si="20"/>
        <v>0</v>
      </c>
      <c r="J59" s="39">
        <f t="shared" si="20"/>
        <v>9462.380972727271</v>
      </c>
      <c r="K59" s="39">
        <f t="shared" si="20"/>
        <v>0</v>
      </c>
      <c r="L59" s="34"/>
      <c r="M59" s="53"/>
    </row>
    <row r="60" spans="1:15" x14ac:dyDescent="0.3">
      <c r="B60" s="536"/>
      <c r="C60" s="33" t="s">
        <v>9</v>
      </c>
      <c r="D60" s="34"/>
      <c r="E60" s="72">
        <f t="shared" ref="E60:K60" si="21">E6</f>
        <v>10</v>
      </c>
      <c r="F60" s="72">
        <f t="shared" si="21"/>
        <v>1</v>
      </c>
      <c r="G60" s="72">
        <f t="shared" si="21"/>
        <v>11</v>
      </c>
      <c r="H60" s="72">
        <f t="shared" si="21"/>
        <v>22</v>
      </c>
      <c r="I60" s="72">
        <f t="shared" si="21"/>
        <v>0</v>
      </c>
      <c r="J60" s="72">
        <f t="shared" si="21"/>
        <v>5</v>
      </c>
      <c r="K60" s="72">
        <f t="shared" si="21"/>
        <v>0</v>
      </c>
      <c r="L60" s="34"/>
      <c r="M60" s="53"/>
    </row>
    <row r="61" spans="1:15" x14ac:dyDescent="0.3">
      <c r="B61" s="536"/>
      <c r="G61" s="51"/>
      <c r="M61" s="43"/>
    </row>
    <row r="62" spans="1:15" x14ac:dyDescent="0.3">
      <c r="A62" t="s">
        <v>49</v>
      </c>
      <c r="B62" s="536"/>
      <c r="C62" s="28" t="s">
        <v>50</v>
      </c>
      <c r="D62" s="23"/>
      <c r="E62" s="67">
        <f>E73*E72</f>
        <v>0</v>
      </c>
      <c r="F62" s="67">
        <f t="shared" ref="F62:K62" si="22">F73*F72</f>
        <v>0</v>
      </c>
      <c r="G62" s="67">
        <f t="shared" si="22"/>
        <v>0</v>
      </c>
      <c r="H62" s="67">
        <f t="shared" si="22"/>
        <v>0</v>
      </c>
      <c r="I62" s="67">
        <f t="shared" si="22"/>
        <v>0</v>
      </c>
      <c r="J62" s="67">
        <f t="shared" si="22"/>
        <v>0</v>
      </c>
      <c r="K62" s="67">
        <f t="shared" si="22"/>
        <v>0</v>
      </c>
      <c r="M62" s="68">
        <f>SUM(E62:L62)</f>
        <v>0</v>
      </c>
      <c r="N62" s="335">
        <v>0</v>
      </c>
      <c r="O62" s="335">
        <f>N62-M62</f>
        <v>0</v>
      </c>
    </row>
    <row r="63" spans="1:15" x14ac:dyDescent="0.3">
      <c r="B63" s="536"/>
      <c r="C63" s="33" t="s">
        <v>51</v>
      </c>
      <c r="D63" s="73">
        <f>IFERROR((D65/(D71*M6))*(1-Tabelas_Coeficientes!B29),0)</f>
        <v>0</v>
      </c>
      <c r="M63" s="43"/>
    </row>
    <row r="64" spans="1:15" x14ac:dyDescent="0.3">
      <c r="B64" s="536"/>
      <c r="C64" s="33" t="s">
        <v>52</v>
      </c>
      <c r="D64" s="73">
        <f>IFERROR((D66/(D71*M6))*(1-Tabelas_Coeficientes!B30),0)</f>
        <v>0</v>
      </c>
      <c r="M64" s="43"/>
    </row>
    <row r="65" spans="1:15" x14ac:dyDescent="0.3">
      <c r="B65" s="541"/>
      <c r="C65" s="78" t="s">
        <v>53</v>
      </c>
      <c r="D65" s="40">
        <f>Tabelas_Prc_Insumos!D33</f>
        <v>0</v>
      </c>
      <c r="M65" s="43"/>
    </row>
    <row r="66" spans="1:15" x14ac:dyDescent="0.3">
      <c r="B66" s="541"/>
      <c r="C66" s="78" t="s">
        <v>54</v>
      </c>
      <c r="D66" s="40">
        <f>Tabelas_Prc_Insumos!D34</f>
        <v>0</v>
      </c>
      <c r="M66" s="43"/>
    </row>
    <row r="67" spans="1:15" x14ac:dyDescent="0.3">
      <c r="B67" s="541"/>
      <c r="C67" s="78" t="s">
        <v>55</v>
      </c>
      <c r="D67" s="76">
        <f>Tabelas_Coeficientes!B31</f>
        <v>25</v>
      </c>
      <c r="M67" s="43"/>
    </row>
    <row r="68" spans="1:15" x14ac:dyDescent="0.3">
      <c r="B68" s="541"/>
      <c r="C68" s="78" t="s">
        <v>56</v>
      </c>
      <c r="D68" s="77">
        <f>Tabelas_Coeficientes!B32</f>
        <v>10</v>
      </c>
      <c r="M68" s="43"/>
    </row>
    <row r="69" spans="1:15" x14ac:dyDescent="0.3">
      <c r="B69" s="541"/>
      <c r="C69" s="78" t="s">
        <v>57</v>
      </c>
      <c r="D69" s="40">
        <f>IFERROR(1/D67,0)</f>
        <v>0.04</v>
      </c>
      <c r="E69" s="39"/>
      <c r="F69" s="39"/>
      <c r="G69" s="39"/>
      <c r="H69" s="39"/>
      <c r="I69" s="39"/>
      <c r="J69" s="39"/>
      <c r="K69" s="39"/>
      <c r="M69" s="43"/>
    </row>
    <row r="70" spans="1:15" x14ac:dyDescent="0.3">
      <c r="B70" s="541"/>
      <c r="C70" s="78" t="s">
        <v>58</v>
      </c>
      <c r="D70" s="40">
        <f>IFERROR(1/D68,0)</f>
        <v>0.1</v>
      </c>
      <c r="E70" s="39"/>
      <c r="F70" s="39"/>
      <c r="G70" s="39"/>
      <c r="H70" s="39"/>
      <c r="I70" s="39"/>
      <c r="J70" s="39"/>
      <c r="K70" s="39"/>
      <c r="M70" s="43"/>
    </row>
    <row r="71" spans="1:15" x14ac:dyDescent="0.3">
      <c r="B71" s="536"/>
      <c r="C71" s="33" t="s">
        <v>36</v>
      </c>
      <c r="D71" s="40">
        <f>D46</f>
        <v>730074.32</v>
      </c>
      <c r="E71" s="39"/>
      <c r="F71" s="39"/>
      <c r="G71" s="39"/>
      <c r="H71" s="39"/>
      <c r="I71" s="39"/>
      <c r="J71" s="39"/>
      <c r="K71" s="39"/>
      <c r="M71" s="43"/>
    </row>
    <row r="72" spans="1:15" x14ac:dyDescent="0.3">
      <c r="B72" s="536"/>
      <c r="C72" s="78" t="s">
        <v>59</v>
      </c>
      <c r="D72" s="39"/>
      <c r="E72" s="79">
        <f>(IFERROR($D63*$D69,0)+IFERROR($D64*$D70,0))*$D71/12</f>
        <v>0</v>
      </c>
      <c r="F72" s="79">
        <f t="shared" ref="F72:K72" si="23">(IFERROR($D63*$D69,0)+IFERROR($D64*$D70,0))*$D71/12</f>
        <v>0</v>
      </c>
      <c r="G72" s="79">
        <f t="shared" si="23"/>
        <v>0</v>
      </c>
      <c r="H72" s="79">
        <f t="shared" si="23"/>
        <v>0</v>
      </c>
      <c r="I72" s="79">
        <f t="shared" si="23"/>
        <v>0</v>
      </c>
      <c r="J72" s="79">
        <f t="shared" si="23"/>
        <v>0</v>
      </c>
      <c r="K72" s="79">
        <f t="shared" si="23"/>
        <v>0</v>
      </c>
      <c r="L72" s="80"/>
      <c r="M72" s="43"/>
    </row>
    <row r="73" spans="1:15" x14ac:dyDescent="0.3">
      <c r="B73" s="536"/>
      <c r="C73" s="33" t="s">
        <v>9</v>
      </c>
      <c r="E73" s="72">
        <f>E$6</f>
        <v>10</v>
      </c>
      <c r="F73" s="72">
        <f t="shared" ref="F73:K73" si="24">F$6</f>
        <v>1</v>
      </c>
      <c r="G73" s="72">
        <f t="shared" si="24"/>
        <v>11</v>
      </c>
      <c r="H73" s="72">
        <f t="shared" si="24"/>
        <v>22</v>
      </c>
      <c r="I73" s="72">
        <f t="shared" si="24"/>
        <v>0</v>
      </c>
      <c r="J73" s="72">
        <f t="shared" si="24"/>
        <v>5</v>
      </c>
      <c r="K73" s="72">
        <f t="shared" si="24"/>
        <v>0</v>
      </c>
      <c r="M73" s="43"/>
    </row>
    <row r="74" spans="1:15" x14ac:dyDescent="0.3">
      <c r="B74" s="536"/>
      <c r="G74" s="51"/>
      <c r="M74" s="43"/>
    </row>
    <row r="75" spans="1:15" x14ac:dyDescent="0.3">
      <c r="A75" t="s">
        <v>60</v>
      </c>
      <c r="B75" s="536"/>
      <c r="C75" s="28" t="s">
        <v>61</v>
      </c>
      <c r="D75" s="23"/>
      <c r="E75" s="67">
        <f>E82*E81</f>
        <v>0</v>
      </c>
      <c r="F75" s="67">
        <f t="shared" ref="F75:K75" si="25">F82*F81</f>
        <v>0</v>
      </c>
      <c r="G75" s="67">
        <f t="shared" si="25"/>
        <v>0</v>
      </c>
      <c r="H75" s="67">
        <f t="shared" si="25"/>
        <v>0</v>
      </c>
      <c r="I75" s="67">
        <f t="shared" si="25"/>
        <v>0</v>
      </c>
      <c r="J75" s="67">
        <f t="shared" si="25"/>
        <v>0</v>
      </c>
      <c r="K75" s="67">
        <f t="shared" si="25"/>
        <v>0</v>
      </c>
      <c r="M75" s="68">
        <f>SUM(E75:L75)</f>
        <v>0</v>
      </c>
      <c r="N75" s="335">
        <v>0</v>
      </c>
      <c r="O75" s="335">
        <f>N75-M75</f>
        <v>0</v>
      </c>
    </row>
    <row r="76" spans="1:15" x14ac:dyDescent="0.3">
      <c r="B76" s="536"/>
      <c r="C76" s="33" t="s">
        <v>62</v>
      </c>
      <c r="D76" s="73">
        <f>(D78*(1-Tabelas_Coeficientes!B33)/('Tarifa_Técnica - PLANUM'!D80*'Tarifa_Técnica - PLANUM'!M6))</f>
        <v>0</v>
      </c>
      <c r="M76" s="43"/>
    </row>
    <row r="77" spans="1:15" x14ac:dyDescent="0.3">
      <c r="B77" s="536"/>
      <c r="C77" s="75" t="s">
        <v>63</v>
      </c>
      <c r="D77" s="76">
        <f>Tabelas_Coeficientes!B34</f>
        <v>5</v>
      </c>
      <c r="M77" s="43"/>
    </row>
    <row r="78" spans="1:15" x14ac:dyDescent="0.3">
      <c r="B78" s="536"/>
      <c r="C78" s="33" t="s">
        <v>64</v>
      </c>
      <c r="D78" s="40">
        <f>Tabelas_Prc_Insumos!D35</f>
        <v>0</v>
      </c>
      <c r="M78" s="43"/>
    </row>
    <row r="79" spans="1:15" x14ac:dyDescent="0.3">
      <c r="B79" s="536"/>
      <c r="C79" s="33" t="s">
        <v>65</v>
      </c>
      <c r="D79" s="40">
        <f>IFERROR(1/D77,0)</f>
        <v>0.2</v>
      </c>
      <c r="M79" s="43"/>
    </row>
    <row r="80" spans="1:15" x14ac:dyDescent="0.3">
      <c r="B80" s="536"/>
      <c r="C80" s="33" t="s">
        <v>36</v>
      </c>
      <c r="D80" s="40">
        <f>D46</f>
        <v>730074.32</v>
      </c>
      <c r="E80" s="39"/>
      <c r="F80" s="39"/>
      <c r="G80" s="39"/>
      <c r="H80" s="39"/>
      <c r="I80" s="39"/>
      <c r="J80" s="39"/>
      <c r="K80" s="39"/>
      <c r="M80" s="43"/>
    </row>
    <row r="81" spans="1:15" x14ac:dyDescent="0.3">
      <c r="B81" s="536"/>
      <c r="C81" s="78" t="s">
        <v>59</v>
      </c>
      <c r="D81" s="39"/>
      <c r="E81" s="79">
        <f>$D76*$D79*$D80/12</f>
        <v>0</v>
      </c>
      <c r="F81" s="79">
        <f t="shared" ref="F81:K81" si="26">$D76*$D79*$D80/12</f>
        <v>0</v>
      </c>
      <c r="G81" s="79">
        <f t="shared" si="26"/>
        <v>0</v>
      </c>
      <c r="H81" s="79">
        <f t="shared" si="26"/>
        <v>0</v>
      </c>
      <c r="I81" s="79">
        <f t="shared" si="26"/>
        <v>0</v>
      </c>
      <c r="J81" s="79">
        <f t="shared" si="26"/>
        <v>0</v>
      </c>
      <c r="K81" s="79">
        <f t="shared" si="26"/>
        <v>0</v>
      </c>
      <c r="L81" s="80"/>
      <c r="M81" s="43"/>
    </row>
    <row r="82" spans="1:15" x14ac:dyDescent="0.3">
      <c r="B82" s="536"/>
      <c r="C82" s="33" t="s">
        <v>9</v>
      </c>
      <c r="E82" s="72">
        <f t="shared" ref="E82:K82" si="27">E$6</f>
        <v>10</v>
      </c>
      <c r="F82" s="72">
        <f t="shared" si="27"/>
        <v>1</v>
      </c>
      <c r="G82" s="72">
        <f t="shared" si="27"/>
        <v>11</v>
      </c>
      <c r="H82" s="72">
        <f t="shared" si="27"/>
        <v>22</v>
      </c>
      <c r="I82" s="72">
        <f t="shared" si="27"/>
        <v>0</v>
      </c>
      <c r="J82" s="72">
        <f t="shared" si="27"/>
        <v>5</v>
      </c>
      <c r="K82" s="72">
        <f t="shared" si="27"/>
        <v>0</v>
      </c>
      <c r="M82" s="43"/>
    </row>
    <row r="83" spans="1:15" x14ac:dyDescent="0.3">
      <c r="B83" s="536"/>
      <c r="G83" s="51"/>
      <c r="M83" s="43"/>
    </row>
    <row r="84" spans="1:15" x14ac:dyDescent="0.3">
      <c r="A84" t="s">
        <v>66</v>
      </c>
      <c r="B84" s="536"/>
      <c r="C84" s="28" t="s">
        <v>67</v>
      </c>
      <c r="D84" s="23"/>
      <c r="E84" s="67">
        <f>$M84*E1</f>
        <v>0</v>
      </c>
      <c r="F84" s="67">
        <f t="shared" ref="F84:K84" si="28">$M84*F1</f>
        <v>0</v>
      </c>
      <c r="G84" s="67">
        <f t="shared" si="28"/>
        <v>0</v>
      </c>
      <c r="H84" s="67">
        <f t="shared" si="28"/>
        <v>0</v>
      </c>
      <c r="I84" s="67">
        <f t="shared" si="28"/>
        <v>0</v>
      </c>
      <c r="J84" s="67">
        <f t="shared" si="28"/>
        <v>0</v>
      </c>
      <c r="K84" s="67">
        <f t="shared" si="28"/>
        <v>0</v>
      </c>
      <c r="M84" s="68">
        <f>D86</f>
        <v>0</v>
      </c>
      <c r="N84" s="335">
        <v>0</v>
      </c>
      <c r="O84" s="335">
        <f>N84-M84</f>
        <v>0</v>
      </c>
    </row>
    <row r="85" spans="1:15" x14ac:dyDescent="0.3">
      <c r="B85" s="536"/>
      <c r="C85" s="33" t="s">
        <v>68</v>
      </c>
      <c r="D85" s="40">
        <f>SUM(Resumo_Frota!C9:G9)</f>
        <v>545000</v>
      </c>
      <c r="M85" s="43"/>
    </row>
    <row r="86" spans="1:15" x14ac:dyDescent="0.3">
      <c r="B86" s="536"/>
      <c r="C86" s="33" t="s">
        <v>69</v>
      </c>
      <c r="D86" s="40">
        <f>Resumo_Frota!$H$11</f>
        <v>0</v>
      </c>
      <c r="M86" s="43"/>
    </row>
    <row r="87" spans="1:15" x14ac:dyDescent="0.3">
      <c r="B87" s="536"/>
      <c r="C87" s="78" t="s">
        <v>59</v>
      </c>
      <c r="D87" s="39"/>
      <c r="E87" s="79">
        <f>IFERROR(E84/E82,0)</f>
        <v>0</v>
      </c>
      <c r="F87" s="79">
        <f t="shared" ref="F87:K87" si="29">IFERROR(F84/F82,0)</f>
        <v>0</v>
      </c>
      <c r="G87" s="79">
        <f t="shared" si="29"/>
        <v>0</v>
      </c>
      <c r="H87" s="79">
        <f t="shared" si="29"/>
        <v>0</v>
      </c>
      <c r="I87" s="79">
        <f t="shared" si="29"/>
        <v>0</v>
      </c>
      <c r="J87" s="79">
        <f t="shared" si="29"/>
        <v>0</v>
      </c>
      <c r="K87" s="79">
        <f t="shared" si="29"/>
        <v>0</v>
      </c>
      <c r="L87" s="80"/>
      <c r="M87" s="43"/>
    </row>
    <row r="88" spans="1:15" x14ac:dyDescent="0.3">
      <c r="B88" s="536"/>
      <c r="G88" s="51"/>
      <c r="M88" s="43"/>
    </row>
    <row r="89" spans="1:15" x14ac:dyDescent="0.3">
      <c r="A89" t="s">
        <v>70</v>
      </c>
      <c r="B89" s="536"/>
      <c r="C89" s="28" t="s">
        <v>71</v>
      </c>
      <c r="D89" s="23"/>
      <c r="E89" s="67">
        <f>$M$89*E1</f>
        <v>0</v>
      </c>
      <c r="F89" s="67">
        <f t="shared" ref="F89:K89" si="30">$M$89*F1</f>
        <v>0</v>
      </c>
      <c r="G89" s="67">
        <f t="shared" si="30"/>
        <v>0</v>
      </c>
      <c r="H89" s="67">
        <f t="shared" si="30"/>
        <v>0</v>
      </c>
      <c r="I89" s="67">
        <f t="shared" si="30"/>
        <v>0</v>
      </c>
      <c r="J89" s="67">
        <f t="shared" si="30"/>
        <v>0</v>
      </c>
      <c r="K89" s="67">
        <f t="shared" si="30"/>
        <v>0</v>
      </c>
      <c r="M89" s="68">
        <f>IFERROR(D90/(D91*12),0)</f>
        <v>0</v>
      </c>
      <c r="N89" s="335">
        <v>0</v>
      </c>
      <c r="O89" s="335">
        <f>N89-M89</f>
        <v>0</v>
      </c>
    </row>
    <row r="90" spans="1:15" x14ac:dyDescent="0.3">
      <c r="B90" s="536"/>
      <c r="C90" s="33" t="s">
        <v>68</v>
      </c>
      <c r="D90" s="40">
        <f>Tabelas_Prc_Insumos!D37</f>
        <v>0</v>
      </c>
      <c r="M90" s="43"/>
    </row>
    <row r="91" spans="1:15" x14ac:dyDescent="0.3">
      <c r="B91" s="536"/>
      <c r="C91" s="33" t="s">
        <v>72</v>
      </c>
      <c r="D91" s="40">
        <v>10</v>
      </c>
      <c r="M91" s="43"/>
    </row>
    <row r="92" spans="1:15" x14ac:dyDescent="0.3">
      <c r="B92" s="536"/>
      <c r="C92" s="78" t="s">
        <v>59</v>
      </c>
      <c r="D92" s="39"/>
      <c r="E92" s="79">
        <f>IFERROR(E89/E73,0)</f>
        <v>0</v>
      </c>
      <c r="F92" s="79">
        <f t="shared" ref="F92:K92" si="31">IFERROR(F89/F73,0)</f>
        <v>0</v>
      </c>
      <c r="G92" s="79">
        <f t="shared" si="31"/>
        <v>0</v>
      </c>
      <c r="H92" s="79">
        <f t="shared" si="31"/>
        <v>0</v>
      </c>
      <c r="I92" s="79">
        <f t="shared" si="31"/>
        <v>0</v>
      </c>
      <c r="J92" s="79">
        <f t="shared" si="31"/>
        <v>0</v>
      </c>
      <c r="K92" s="79">
        <f t="shared" si="31"/>
        <v>0</v>
      </c>
      <c r="L92" s="80"/>
      <c r="M92" s="43"/>
    </row>
    <row r="93" spans="1:15" x14ac:dyDescent="0.3">
      <c r="B93" s="536"/>
      <c r="G93" s="51"/>
      <c r="M93" s="43"/>
    </row>
    <row r="94" spans="1:15" x14ac:dyDescent="0.3">
      <c r="B94" s="536"/>
      <c r="C94" s="81" t="s">
        <v>73</v>
      </c>
      <c r="E94" s="82">
        <f>E52+E62+E75+E84+E89</f>
        <v>12481.440545454549</v>
      </c>
      <c r="F94" s="82">
        <f t="shared" ref="F94:K94" si="32">F52+F62+F75+F84+F89</f>
        <v>6328.4664272727277</v>
      </c>
      <c r="G94" s="82">
        <f t="shared" si="32"/>
        <v>0</v>
      </c>
      <c r="H94" s="82">
        <f t="shared" si="32"/>
        <v>196265.38139999998</v>
      </c>
      <c r="I94" s="82">
        <f t="shared" si="32"/>
        <v>0</v>
      </c>
      <c r="J94" s="82">
        <f t="shared" si="32"/>
        <v>47311.904863636359</v>
      </c>
      <c r="K94" s="82">
        <f t="shared" si="32"/>
        <v>0</v>
      </c>
      <c r="L94" s="12"/>
      <c r="M94" s="83">
        <f>M52+M62+M75+M84+M89</f>
        <v>262387.19323636359</v>
      </c>
      <c r="N94" s="441">
        <f>N89+N84+N75++N62+N52</f>
        <v>262810.06</v>
      </c>
      <c r="O94" s="335">
        <f>N94-M94</f>
        <v>422.86676363641163</v>
      </c>
    </row>
    <row r="95" spans="1:15" x14ac:dyDescent="0.3">
      <c r="B95" s="536"/>
      <c r="G95" s="51"/>
      <c r="M95" s="43"/>
    </row>
    <row r="96" spans="1:15" x14ac:dyDescent="0.3">
      <c r="A96" t="s">
        <v>74</v>
      </c>
      <c r="B96" s="536" t="s">
        <v>40</v>
      </c>
      <c r="C96" s="28" t="s">
        <v>75</v>
      </c>
      <c r="D96" s="29"/>
      <c r="E96" s="67">
        <f>IFERROR(E100*E101,0)</f>
        <v>6038.4632272727313</v>
      </c>
      <c r="F96" s="67">
        <f t="shared" ref="F96:K96" si="33">IFERROR(F100*F101,0)</f>
        <v>3809.9488151515156</v>
      </c>
      <c r="G96" s="67">
        <f t="shared" si="33"/>
        <v>6632.9705986500057</v>
      </c>
      <c r="H96" s="67">
        <f t="shared" si="33"/>
        <v>118163.45719560001</v>
      </c>
      <c r="I96" s="67">
        <f t="shared" si="33"/>
        <v>0</v>
      </c>
      <c r="J96" s="67">
        <f t="shared" si="33"/>
        <v>28461.628912636363</v>
      </c>
      <c r="K96" s="67">
        <f t="shared" si="33"/>
        <v>0</v>
      </c>
      <c r="L96" s="45"/>
      <c r="M96" s="68">
        <f>SUM(E96:L96)</f>
        <v>163106.46874931065</v>
      </c>
      <c r="N96" s="4">
        <v>163106.41</v>
      </c>
      <c r="O96" s="335">
        <f>N96-M96</f>
        <v>-5.8749310643179342E-2</v>
      </c>
    </row>
    <row r="97" spans="1:15" x14ac:dyDescent="0.3">
      <c r="B97" s="536"/>
      <c r="C97" s="33" t="s">
        <v>76</v>
      </c>
      <c r="D97" s="427">
        <f>Tabelas_Coeficientes!B36-Tabelas_Coeficientes!B37/2</f>
        <v>0.104521</v>
      </c>
      <c r="E97" s="71"/>
      <c r="F97" s="71"/>
      <c r="G97" s="71"/>
      <c r="H97" s="71"/>
      <c r="I97" s="71"/>
      <c r="J97" s="71"/>
      <c r="K97" s="71"/>
      <c r="L97" s="34"/>
      <c r="M97" s="53"/>
    </row>
    <row r="98" spans="1:15" x14ac:dyDescent="0.3">
      <c r="B98" s="536"/>
      <c r="C98" s="33" t="s">
        <v>7</v>
      </c>
      <c r="E98" s="48">
        <f>'Dep. e Rem. Frota'!P44</f>
        <v>1.4909090909090916</v>
      </c>
      <c r="F98" s="48">
        <f>'Dep. e Rem. Frota'!Q44</f>
        <v>0.83636363636363642</v>
      </c>
      <c r="G98" s="48">
        <f>'Dep. e Rem. Frota'!R44</f>
        <v>1.100000000000001</v>
      </c>
      <c r="H98" s="48">
        <f>'Dep. e Rem. Frota'!S44</f>
        <v>18.400000000000002</v>
      </c>
      <c r="I98" s="48">
        <f>'Dep. e Rem. Frota'!T44</f>
        <v>0</v>
      </c>
      <c r="J98" s="48">
        <f>'Dep. e Rem. Frota'!U44</f>
        <v>4.1818181818181817</v>
      </c>
      <c r="K98" s="48">
        <f>'Dep. e Rem. Frota'!V44</f>
        <v>0</v>
      </c>
      <c r="M98" s="43"/>
      <c r="N98" s="426" t="s">
        <v>388</v>
      </c>
    </row>
    <row r="99" spans="1:15" x14ac:dyDescent="0.3">
      <c r="B99" s="536"/>
      <c r="C99" s="33" t="s">
        <v>77</v>
      </c>
      <c r="E99" s="39">
        <f>E98*E55*$D$97</f>
        <v>72461.558727272772</v>
      </c>
      <c r="F99" s="39">
        <f t="shared" ref="F99:K99" si="34">F98*F55*$D$97</f>
        <v>45719.385781818186</v>
      </c>
      <c r="G99" s="39">
        <f t="shared" si="34"/>
        <v>79595.647183800073</v>
      </c>
      <c r="H99" s="39">
        <f t="shared" si="34"/>
        <v>1417961.4863472001</v>
      </c>
      <c r="I99" s="39">
        <f t="shared" si="34"/>
        <v>0</v>
      </c>
      <c r="J99" s="39">
        <f t="shared" si="34"/>
        <v>341539.54695163632</v>
      </c>
      <c r="K99" s="39">
        <f t="shared" si="34"/>
        <v>0</v>
      </c>
      <c r="M99" s="43"/>
    </row>
    <row r="100" spans="1:15" x14ac:dyDescent="0.3">
      <c r="B100" s="536"/>
      <c r="C100" s="33" t="s">
        <v>340</v>
      </c>
      <c r="E100" s="39">
        <f>IFERROR(E99/12/E101,0)</f>
        <v>603.8463227272731</v>
      </c>
      <c r="F100" s="39">
        <f t="shared" ref="F100:K100" si="35">IFERROR(F99/12/F101,0)</f>
        <v>3809.9488151515156</v>
      </c>
      <c r="G100" s="39">
        <f t="shared" si="35"/>
        <v>602.9973271500005</v>
      </c>
      <c r="H100" s="39">
        <f t="shared" si="35"/>
        <v>5371.0662361636369</v>
      </c>
      <c r="I100" s="39">
        <f t="shared" si="35"/>
        <v>0</v>
      </c>
      <c r="J100" s="39">
        <f t="shared" si="35"/>
        <v>5692.3257825272722</v>
      </c>
      <c r="K100" s="39">
        <f t="shared" si="35"/>
        <v>0</v>
      </c>
      <c r="M100" s="43"/>
    </row>
    <row r="101" spans="1:15" x14ac:dyDescent="0.3">
      <c r="B101" s="536"/>
      <c r="C101" s="33" t="s">
        <v>9</v>
      </c>
      <c r="E101" s="72">
        <f>E60</f>
        <v>10</v>
      </c>
      <c r="F101" s="72">
        <f t="shared" ref="F101:K101" si="36">F60</f>
        <v>1</v>
      </c>
      <c r="G101" s="72">
        <f t="shared" si="36"/>
        <v>11</v>
      </c>
      <c r="H101" s="72">
        <f t="shared" si="36"/>
        <v>22</v>
      </c>
      <c r="I101" s="72">
        <f t="shared" si="36"/>
        <v>0</v>
      </c>
      <c r="J101" s="72">
        <f t="shared" si="36"/>
        <v>5</v>
      </c>
      <c r="K101" s="72">
        <f t="shared" si="36"/>
        <v>0</v>
      </c>
      <c r="M101" s="43"/>
    </row>
    <row r="102" spans="1:15" x14ac:dyDescent="0.3">
      <c r="B102" s="536"/>
      <c r="M102" s="43"/>
    </row>
    <row r="103" spans="1:15" x14ac:dyDescent="0.3">
      <c r="A103" t="s">
        <v>78</v>
      </c>
      <c r="B103" s="536"/>
      <c r="C103" s="28" t="s">
        <v>79</v>
      </c>
      <c r="D103" s="29"/>
      <c r="E103" s="67">
        <f>E109*E110</f>
        <v>0</v>
      </c>
      <c r="F103" s="67">
        <f t="shared" ref="F103:K103" si="37">F109*F110</f>
        <v>0</v>
      </c>
      <c r="G103" s="67">
        <f t="shared" si="37"/>
        <v>0</v>
      </c>
      <c r="H103" s="67">
        <f t="shared" si="37"/>
        <v>0</v>
      </c>
      <c r="I103" s="67">
        <f t="shared" si="37"/>
        <v>0</v>
      </c>
      <c r="J103" s="67">
        <f t="shared" si="37"/>
        <v>0</v>
      </c>
      <c r="K103" s="67">
        <f t="shared" si="37"/>
        <v>0</v>
      </c>
      <c r="L103" s="45"/>
      <c r="M103" s="68">
        <f>SUM(E103:L103)</f>
        <v>0</v>
      </c>
      <c r="N103" s="335">
        <v>0</v>
      </c>
      <c r="O103" s="335">
        <f>N103-M103</f>
        <v>0</v>
      </c>
    </row>
    <row r="104" spans="1:15" x14ac:dyDescent="0.3">
      <c r="B104" s="536"/>
      <c r="C104" s="33" t="s">
        <v>80</v>
      </c>
      <c r="D104" s="84">
        <f>Tabelas_Prc_Insumos!D37/('Tarifa_Técnica - PLANUM'!D108*'Tarifa_Técnica - PLANUM'!M6)</f>
        <v>0</v>
      </c>
      <c r="L104" s="34"/>
      <c r="M104" s="53"/>
    </row>
    <row r="105" spans="1:15" x14ac:dyDescent="0.3">
      <c r="B105" s="536"/>
      <c r="C105" s="33" t="s">
        <v>81</v>
      </c>
      <c r="D105" s="84">
        <f>(1-(1/Tabelas_Coeficientes!B31*Tabelas_Coeficientes!B31/2))*(Tabelas_Prc_Insumos!D33/('Tarifa_Técnica - PLANUM'!D108*'Tarifa_Técnica - PLANUM'!M6))</f>
        <v>0</v>
      </c>
      <c r="E105" s="85"/>
      <c r="F105" s="85"/>
      <c r="G105" s="85"/>
      <c r="H105" s="85"/>
      <c r="I105" s="85"/>
      <c r="J105" s="85"/>
      <c r="K105" s="85"/>
      <c r="L105" s="34"/>
      <c r="M105" s="53"/>
    </row>
    <row r="106" spans="1:15" x14ac:dyDescent="0.3">
      <c r="B106" s="536"/>
      <c r="C106" s="33" t="s">
        <v>82</v>
      </c>
      <c r="D106" s="84">
        <f>(1-(1/Tabelas_Coeficientes!B32*Tabelas_Coeficientes!B32/2))*(Tabelas_Prc_Insumos!D34/('Tarifa_Técnica - PLANUM'!D108*'Tarifa_Técnica - PLANUM'!M6))</f>
        <v>0</v>
      </c>
      <c r="E106" s="39"/>
      <c r="F106" s="39"/>
      <c r="G106" s="39"/>
      <c r="H106" s="39"/>
      <c r="I106" s="39"/>
      <c r="J106" s="39"/>
      <c r="K106" s="39"/>
      <c r="L106" s="34"/>
      <c r="M106" s="53"/>
    </row>
    <row r="107" spans="1:15" x14ac:dyDescent="0.3">
      <c r="B107" s="536"/>
      <c r="C107" s="33" t="s">
        <v>83</v>
      </c>
      <c r="D107" s="86">
        <f>D97</f>
        <v>0.104521</v>
      </c>
      <c r="E107" s="65"/>
      <c r="F107" s="65"/>
      <c r="G107" s="65"/>
      <c r="H107" s="65"/>
      <c r="I107" s="65"/>
      <c r="J107" s="65"/>
      <c r="K107" s="65"/>
      <c r="L107" s="34"/>
      <c r="M107" s="53"/>
    </row>
    <row r="108" spans="1:15" x14ac:dyDescent="0.3">
      <c r="B108" s="536"/>
      <c r="C108" s="33" t="s">
        <v>36</v>
      </c>
      <c r="D108" s="40">
        <f>D121</f>
        <v>730074.32</v>
      </c>
      <c r="E108" s="65"/>
      <c r="F108" s="65"/>
      <c r="G108" s="65"/>
      <c r="H108" s="65"/>
      <c r="I108" s="65"/>
      <c r="J108" s="65"/>
      <c r="K108" s="65"/>
      <c r="L108" s="34"/>
      <c r="M108" s="53"/>
    </row>
    <row r="109" spans="1:15" x14ac:dyDescent="0.3">
      <c r="B109" s="536"/>
      <c r="C109" s="78" t="s">
        <v>59</v>
      </c>
      <c r="E109" s="79">
        <f>(SUM($D104:$D106)*$D107*$D108)/12</f>
        <v>0</v>
      </c>
      <c r="F109" s="79">
        <f t="shared" ref="F109:K109" si="38">(SUM($D104:$D106)*$D107*$D108)/12</f>
        <v>0</v>
      </c>
      <c r="G109" s="79">
        <f t="shared" si="38"/>
        <v>0</v>
      </c>
      <c r="H109" s="79">
        <f t="shared" si="38"/>
        <v>0</v>
      </c>
      <c r="I109" s="79">
        <f t="shared" si="38"/>
        <v>0</v>
      </c>
      <c r="J109" s="79">
        <f t="shared" si="38"/>
        <v>0</v>
      </c>
      <c r="K109" s="79">
        <f t="shared" si="38"/>
        <v>0</v>
      </c>
      <c r="L109" s="34"/>
      <c r="M109" s="53"/>
    </row>
    <row r="110" spans="1:15" x14ac:dyDescent="0.3">
      <c r="B110" s="536"/>
      <c r="C110" s="33" t="s">
        <v>9</v>
      </c>
      <c r="E110" s="72">
        <f t="shared" ref="E110:K110" si="39">E$6</f>
        <v>10</v>
      </c>
      <c r="F110" s="72">
        <f t="shared" si="39"/>
        <v>1</v>
      </c>
      <c r="G110" s="72">
        <f t="shared" si="39"/>
        <v>11</v>
      </c>
      <c r="H110" s="72">
        <f t="shared" si="39"/>
        <v>22</v>
      </c>
      <c r="I110" s="72">
        <f t="shared" si="39"/>
        <v>0</v>
      </c>
      <c r="J110" s="72">
        <f t="shared" si="39"/>
        <v>5</v>
      </c>
      <c r="K110" s="72">
        <f t="shared" si="39"/>
        <v>0</v>
      </c>
      <c r="L110" s="34"/>
      <c r="M110" s="53"/>
    </row>
    <row r="111" spans="1:15" x14ac:dyDescent="0.3">
      <c r="B111" s="536"/>
      <c r="C111" s="33"/>
      <c r="E111" s="65"/>
      <c r="F111" s="65"/>
      <c r="G111" s="65"/>
      <c r="H111" s="65"/>
      <c r="I111" s="65"/>
      <c r="J111" s="65"/>
      <c r="K111" s="65"/>
      <c r="L111" s="34"/>
      <c r="M111" s="53"/>
    </row>
    <row r="112" spans="1:15" x14ac:dyDescent="0.3">
      <c r="A112" t="s">
        <v>84</v>
      </c>
      <c r="B112" s="536"/>
      <c r="C112" s="28" t="s">
        <v>85</v>
      </c>
      <c r="D112" s="23"/>
      <c r="E112" s="67">
        <f>$M112*E1</f>
        <v>843.54189966782326</v>
      </c>
      <c r="F112" s="67">
        <f t="shared" ref="F112:K112" si="40">$M112*F1</f>
        <v>84.354189966782315</v>
      </c>
      <c r="G112" s="67">
        <f t="shared" si="40"/>
        <v>927.89608963460546</v>
      </c>
      <c r="H112" s="67">
        <f t="shared" si="40"/>
        <v>1855.7921792692109</v>
      </c>
      <c r="I112" s="67">
        <f t="shared" si="40"/>
        <v>0</v>
      </c>
      <c r="J112" s="67">
        <f t="shared" si="40"/>
        <v>421.77094983391163</v>
      </c>
      <c r="K112" s="67">
        <f t="shared" si="40"/>
        <v>0</v>
      </c>
      <c r="L112" s="34"/>
      <c r="M112" s="68">
        <f>D113*D114*D115/12</f>
        <v>4133.3553083723336</v>
      </c>
      <c r="N112" s="4">
        <v>4133.3500000000004</v>
      </c>
      <c r="O112" s="335">
        <f>N112-M112</f>
        <v>-5.3083723332747468E-3</v>
      </c>
    </row>
    <row r="113" spans="1:15" x14ac:dyDescent="0.3">
      <c r="B113" s="536"/>
      <c r="C113" s="33" t="s">
        <v>86</v>
      </c>
      <c r="D113" s="87">
        <f>Tabelas_Coeficientes!B38</f>
        <v>2</v>
      </c>
      <c r="E113" s="65"/>
      <c r="F113" s="65"/>
      <c r="G113" s="65"/>
      <c r="H113" s="65"/>
      <c r="I113" s="65"/>
      <c r="J113" s="65"/>
      <c r="K113" s="65"/>
      <c r="L113" s="34"/>
      <c r="M113" s="53"/>
    </row>
    <row r="114" spans="1:15" x14ac:dyDescent="0.3">
      <c r="B114" s="536"/>
      <c r="C114" s="33" t="s">
        <v>83</v>
      </c>
      <c r="D114" s="86">
        <f>D107</f>
        <v>0.104521</v>
      </c>
      <c r="E114" s="39"/>
      <c r="F114" s="39"/>
      <c r="G114" s="39"/>
      <c r="H114" s="39"/>
      <c r="I114" s="39"/>
      <c r="J114" s="39"/>
      <c r="K114" s="39"/>
      <c r="L114" s="34"/>
      <c r="M114" s="53"/>
    </row>
    <row r="115" spans="1:15" x14ac:dyDescent="0.3">
      <c r="B115" s="536"/>
      <c r="C115" s="33" t="s">
        <v>87</v>
      </c>
      <c r="D115" s="39">
        <f>SUM(E115:K115)</f>
        <v>237274.15399999998</v>
      </c>
      <c r="E115" s="39">
        <f>E39</f>
        <v>54755.573999999993</v>
      </c>
      <c r="F115" s="39">
        <f t="shared" ref="F115:K115" si="41">F39</f>
        <v>3650.3715999999999</v>
      </c>
      <c r="G115" s="39">
        <f t="shared" si="41"/>
        <v>80308.175199999983</v>
      </c>
      <c r="H115" s="39">
        <f t="shared" si="41"/>
        <v>80308.175199999983</v>
      </c>
      <c r="I115" s="39">
        <f t="shared" si="41"/>
        <v>0</v>
      </c>
      <c r="J115" s="39">
        <f t="shared" si="41"/>
        <v>18251.857999999997</v>
      </c>
      <c r="K115" s="39">
        <f t="shared" si="41"/>
        <v>0</v>
      </c>
      <c r="L115" s="34"/>
      <c r="M115" s="53"/>
      <c r="N115" s="426" t="s">
        <v>386</v>
      </c>
    </row>
    <row r="116" spans="1:15" x14ac:dyDescent="0.3">
      <c r="B116" s="536"/>
      <c r="C116" s="78" t="s">
        <v>59</v>
      </c>
      <c r="D116" s="39"/>
      <c r="E116" s="39">
        <f>IFERROR(E112/E110,0)</f>
        <v>84.354189966782329</v>
      </c>
      <c r="F116" s="39">
        <f t="shared" ref="F116:K116" si="42">IFERROR(F112/F110,0)</f>
        <v>84.354189966782315</v>
      </c>
      <c r="G116" s="39">
        <f t="shared" si="42"/>
        <v>84.354189966782315</v>
      </c>
      <c r="H116" s="39">
        <f t="shared" si="42"/>
        <v>84.354189966782315</v>
      </c>
      <c r="I116" s="39">
        <f t="shared" si="42"/>
        <v>0</v>
      </c>
      <c r="J116" s="39">
        <f t="shared" si="42"/>
        <v>84.354189966782329</v>
      </c>
      <c r="K116" s="39">
        <f t="shared" si="42"/>
        <v>0</v>
      </c>
      <c r="L116" s="34"/>
      <c r="M116" s="53"/>
    </row>
    <row r="117" spans="1:15" x14ac:dyDescent="0.3">
      <c r="B117" s="536"/>
      <c r="C117" s="33"/>
      <c r="D117" s="86"/>
      <c r="E117" s="65"/>
      <c r="F117" s="65"/>
      <c r="G117" s="65"/>
      <c r="H117" s="65"/>
      <c r="I117" s="65"/>
      <c r="J117" s="65"/>
      <c r="K117" s="65"/>
      <c r="L117" s="34"/>
      <c r="M117" s="53"/>
    </row>
    <row r="118" spans="1:15" x14ac:dyDescent="0.3">
      <c r="A118" t="s">
        <v>88</v>
      </c>
      <c r="B118" s="536"/>
      <c r="C118" s="28" t="s">
        <v>89</v>
      </c>
      <c r="D118" s="23"/>
      <c r="E118" s="67">
        <f>E123*E122</f>
        <v>0</v>
      </c>
      <c r="F118" s="67">
        <f t="shared" ref="F118:K118" si="43">F123*F122</f>
        <v>0</v>
      </c>
      <c r="G118" s="67">
        <f t="shared" si="43"/>
        <v>0</v>
      </c>
      <c r="H118" s="67">
        <f t="shared" si="43"/>
        <v>0</v>
      </c>
      <c r="I118" s="67">
        <f t="shared" si="43"/>
        <v>0</v>
      </c>
      <c r="J118" s="67">
        <f t="shared" si="43"/>
        <v>0</v>
      </c>
      <c r="K118" s="67">
        <f t="shared" si="43"/>
        <v>0</v>
      </c>
      <c r="M118" s="68">
        <f>SUM(E118:L118)</f>
        <v>0</v>
      </c>
      <c r="N118" s="335">
        <v>0</v>
      </c>
      <c r="O118" s="335">
        <f>N118-M118</f>
        <v>0</v>
      </c>
    </row>
    <row r="119" spans="1:15" x14ac:dyDescent="0.3">
      <c r="B119" s="536"/>
      <c r="C119" s="33" t="s">
        <v>90</v>
      </c>
      <c r="D119" s="73">
        <f>(1-(1/Tabelas_Coeficientes!B34*Tabelas_Coeficientes!B34/2))*(Tabelas_Prc_Insumos!D35/('Tarifa_Técnica - PLANUM'!D121*'Tarifa_Técnica - PLANUM'!M6))</f>
        <v>0</v>
      </c>
      <c r="M119" s="43"/>
    </row>
    <row r="120" spans="1:15" x14ac:dyDescent="0.3">
      <c r="B120" s="536"/>
      <c r="C120" s="33" t="s">
        <v>83</v>
      </c>
      <c r="D120" s="88">
        <f>D114</f>
        <v>0.104521</v>
      </c>
      <c r="M120" s="43"/>
    </row>
    <row r="121" spans="1:15" x14ac:dyDescent="0.3">
      <c r="B121" s="536"/>
      <c r="C121" s="33" t="s">
        <v>36</v>
      </c>
      <c r="D121" s="40">
        <f>D46</f>
        <v>730074.32</v>
      </c>
      <c r="E121" s="39"/>
      <c r="F121" s="39"/>
      <c r="G121" s="39"/>
      <c r="H121" s="39"/>
      <c r="I121" s="39"/>
      <c r="J121" s="39"/>
      <c r="K121" s="39"/>
      <c r="M121" s="43"/>
    </row>
    <row r="122" spans="1:15" x14ac:dyDescent="0.3">
      <c r="B122" s="536"/>
      <c r="C122" s="78" t="s">
        <v>59</v>
      </c>
      <c r="D122" s="39"/>
      <c r="E122" s="79">
        <f>$D119*$D120*$D121/12</f>
        <v>0</v>
      </c>
      <c r="F122" s="79">
        <f t="shared" ref="F122:K122" si="44">$D119*$D120*$D121/12</f>
        <v>0</v>
      </c>
      <c r="G122" s="79">
        <f t="shared" si="44"/>
        <v>0</v>
      </c>
      <c r="H122" s="79">
        <f t="shared" si="44"/>
        <v>0</v>
      </c>
      <c r="I122" s="79">
        <f t="shared" si="44"/>
        <v>0</v>
      </c>
      <c r="J122" s="79">
        <f t="shared" si="44"/>
        <v>0</v>
      </c>
      <c r="K122" s="79">
        <f t="shared" si="44"/>
        <v>0</v>
      </c>
      <c r="L122" s="80"/>
      <c r="M122" s="43"/>
    </row>
    <row r="123" spans="1:15" x14ac:dyDescent="0.3">
      <c r="B123" s="536"/>
      <c r="C123" s="33" t="s">
        <v>9</v>
      </c>
      <c r="E123" s="72">
        <f t="shared" ref="E123:K123" si="45">E$6</f>
        <v>10</v>
      </c>
      <c r="F123" s="72">
        <f t="shared" si="45"/>
        <v>1</v>
      </c>
      <c r="G123" s="72">
        <f t="shared" si="45"/>
        <v>11</v>
      </c>
      <c r="H123" s="72">
        <f t="shared" si="45"/>
        <v>22</v>
      </c>
      <c r="I123" s="72">
        <f t="shared" si="45"/>
        <v>0</v>
      </c>
      <c r="J123" s="72">
        <f t="shared" si="45"/>
        <v>5</v>
      </c>
      <c r="K123" s="72">
        <f t="shared" si="45"/>
        <v>0</v>
      </c>
      <c r="M123" s="43"/>
    </row>
    <row r="124" spans="1:15" x14ac:dyDescent="0.3">
      <c r="B124" s="536"/>
      <c r="G124" s="51"/>
      <c r="M124" s="43"/>
    </row>
    <row r="125" spans="1:15" x14ac:dyDescent="0.3">
      <c r="A125" t="s">
        <v>91</v>
      </c>
      <c r="B125" s="536"/>
      <c r="C125" s="28" t="s">
        <v>92</v>
      </c>
      <c r="D125" s="23"/>
      <c r="E125" s="67">
        <f>E129*E130</f>
        <v>0</v>
      </c>
      <c r="F125" s="67">
        <f t="shared" ref="F125:K125" si="46">F129*F130</f>
        <v>0</v>
      </c>
      <c r="G125" s="67">
        <f t="shared" si="46"/>
        <v>0</v>
      </c>
      <c r="H125" s="67">
        <f t="shared" si="46"/>
        <v>0</v>
      </c>
      <c r="I125" s="67">
        <f t="shared" si="46"/>
        <v>0</v>
      </c>
      <c r="J125" s="67">
        <f t="shared" si="46"/>
        <v>0</v>
      </c>
      <c r="K125" s="67">
        <f t="shared" si="46"/>
        <v>0</v>
      </c>
      <c r="M125" s="68">
        <f>SUM(E125:L125)</f>
        <v>0</v>
      </c>
      <c r="N125" s="335">
        <v>0</v>
      </c>
      <c r="O125" s="335">
        <f>N125-M125</f>
        <v>0</v>
      </c>
    </row>
    <row r="126" spans="1:15" x14ac:dyDescent="0.3">
      <c r="B126" s="536"/>
      <c r="C126" s="33" t="s">
        <v>93</v>
      </c>
      <c r="D126" s="73">
        <f>(1/(D128*M6))*Resumo_Frota!H15</f>
        <v>0</v>
      </c>
      <c r="M126" s="43"/>
    </row>
    <row r="127" spans="1:15" x14ac:dyDescent="0.3">
      <c r="B127" s="536"/>
      <c r="C127" s="33" t="s">
        <v>83</v>
      </c>
      <c r="D127" s="88">
        <f>D120</f>
        <v>0.104521</v>
      </c>
      <c r="M127" s="43"/>
      <c r="N127" s="426" t="s">
        <v>387</v>
      </c>
    </row>
    <row r="128" spans="1:15" x14ac:dyDescent="0.3">
      <c r="B128" s="536"/>
      <c r="C128" s="33" t="s">
        <v>36</v>
      </c>
      <c r="D128" s="40">
        <f>D121</f>
        <v>730074.32</v>
      </c>
      <c r="M128" s="43"/>
    </row>
    <row r="129" spans="1:15" x14ac:dyDescent="0.3">
      <c r="B129" s="536"/>
      <c r="C129" s="78" t="s">
        <v>59</v>
      </c>
      <c r="D129" s="39"/>
      <c r="E129" s="79">
        <f>$D126*$D127*$D128/12</f>
        <v>0</v>
      </c>
      <c r="F129" s="79">
        <f t="shared" ref="F129:K129" si="47">$D126*$D127*$D128/12</f>
        <v>0</v>
      </c>
      <c r="G129" s="79">
        <f t="shared" si="47"/>
        <v>0</v>
      </c>
      <c r="H129" s="79">
        <f t="shared" si="47"/>
        <v>0</v>
      </c>
      <c r="I129" s="79">
        <f t="shared" si="47"/>
        <v>0</v>
      </c>
      <c r="J129" s="79">
        <f t="shared" si="47"/>
        <v>0</v>
      </c>
      <c r="K129" s="79">
        <f t="shared" si="47"/>
        <v>0</v>
      </c>
      <c r="L129" s="80"/>
      <c r="M129" s="43"/>
    </row>
    <row r="130" spans="1:15" x14ac:dyDescent="0.3">
      <c r="B130" s="536"/>
      <c r="C130" s="33" t="s">
        <v>9</v>
      </c>
      <c r="E130" s="72">
        <f t="shared" ref="E130:K130" si="48">E$6</f>
        <v>10</v>
      </c>
      <c r="F130" s="72">
        <f t="shared" si="48"/>
        <v>1</v>
      </c>
      <c r="G130" s="72">
        <f>G$6</f>
        <v>11</v>
      </c>
      <c r="H130" s="72">
        <f t="shared" si="48"/>
        <v>22</v>
      </c>
      <c r="I130" s="72">
        <f t="shared" si="48"/>
        <v>0</v>
      </c>
      <c r="J130" s="72">
        <f t="shared" si="48"/>
        <v>5</v>
      </c>
      <c r="K130" s="72">
        <f t="shared" si="48"/>
        <v>0</v>
      </c>
      <c r="M130" s="43"/>
    </row>
    <row r="131" spans="1:15" x14ac:dyDescent="0.3">
      <c r="B131" s="536"/>
      <c r="G131" s="51"/>
      <c r="M131" s="43"/>
    </row>
    <row r="132" spans="1:15" x14ac:dyDescent="0.3">
      <c r="A132" t="s">
        <v>94</v>
      </c>
      <c r="B132" s="536"/>
      <c r="C132" s="28" t="s">
        <v>95</v>
      </c>
      <c r="D132" s="23"/>
      <c r="E132" s="67">
        <f>$M132*E1</f>
        <v>0</v>
      </c>
      <c r="F132" s="67">
        <f t="shared" ref="F132:K132" si="49">$M132*F1</f>
        <v>0</v>
      </c>
      <c r="G132" s="67">
        <f t="shared" si="49"/>
        <v>0</v>
      </c>
      <c r="H132" s="67">
        <f t="shared" si="49"/>
        <v>0</v>
      </c>
      <c r="I132" s="67">
        <f t="shared" si="49"/>
        <v>0</v>
      </c>
      <c r="J132" s="67">
        <f t="shared" si="49"/>
        <v>0</v>
      </c>
      <c r="K132" s="67">
        <f t="shared" si="49"/>
        <v>0</v>
      </c>
      <c r="M132" s="68">
        <f>D133*D134*D135/12</f>
        <v>0</v>
      </c>
      <c r="N132" s="335">
        <v>0</v>
      </c>
      <c r="O132" s="335">
        <f>N132-M132</f>
        <v>0</v>
      </c>
    </row>
    <row r="133" spans="1:15" x14ac:dyDescent="0.3">
      <c r="B133" s="536"/>
      <c r="C133" s="33" t="s">
        <v>96</v>
      </c>
      <c r="D133" s="40">
        <f>(1-(1/Tabelas_Coeficientes!B35*Tabelas_Coeficientes!B35/2))</f>
        <v>0.5</v>
      </c>
      <c r="M133" s="43"/>
    </row>
    <row r="134" spans="1:15" x14ac:dyDescent="0.3">
      <c r="B134" s="536"/>
      <c r="C134" s="33" t="s">
        <v>83</v>
      </c>
      <c r="D134" s="88">
        <f>D127</f>
        <v>0.104521</v>
      </c>
      <c r="M134" s="43"/>
    </row>
    <row r="135" spans="1:15" x14ac:dyDescent="0.3">
      <c r="B135" s="536"/>
      <c r="C135" s="33" t="s">
        <v>97</v>
      </c>
      <c r="D135" s="40">
        <f>D90</f>
        <v>0</v>
      </c>
      <c r="M135" s="43"/>
    </row>
    <row r="136" spans="1:15" x14ac:dyDescent="0.3">
      <c r="B136" s="536"/>
      <c r="C136" s="78" t="s">
        <v>59</v>
      </c>
      <c r="D136" s="39"/>
      <c r="E136" s="79">
        <f>IFERROR(E132/E123,0)</f>
        <v>0</v>
      </c>
      <c r="F136" s="79">
        <f t="shared" ref="F136:K136" si="50">IFERROR(F132/F123,0)</f>
        <v>0</v>
      </c>
      <c r="G136" s="79">
        <f t="shared" si="50"/>
        <v>0</v>
      </c>
      <c r="H136" s="79">
        <f t="shared" si="50"/>
        <v>0</v>
      </c>
      <c r="I136" s="79">
        <f t="shared" si="50"/>
        <v>0</v>
      </c>
      <c r="J136" s="79">
        <f t="shared" si="50"/>
        <v>0</v>
      </c>
      <c r="K136" s="79">
        <f t="shared" si="50"/>
        <v>0</v>
      </c>
      <c r="L136" s="80"/>
      <c r="M136" s="43"/>
    </row>
    <row r="137" spans="1:15" x14ac:dyDescent="0.3">
      <c r="B137" s="536"/>
      <c r="C137" s="33"/>
      <c r="D137" s="39"/>
      <c r="E137" s="79"/>
      <c r="F137" s="79"/>
      <c r="G137" s="79"/>
      <c r="H137" s="79"/>
      <c r="I137" s="79"/>
      <c r="J137" s="79"/>
      <c r="K137" s="79"/>
      <c r="L137" s="80"/>
      <c r="M137" s="43"/>
    </row>
    <row r="138" spans="1:15" x14ac:dyDescent="0.3">
      <c r="B138" s="536"/>
      <c r="C138" s="81" t="s">
        <v>98</v>
      </c>
      <c r="D138" s="86"/>
      <c r="E138" s="82">
        <f>E96+E103+E112+E118+E125+E132</f>
        <v>6882.0051269405549</v>
      </c>
      <c r="F138" s="82">
        <f t="shared" ref="F138:K138" si="51">F96+F103+F112+F118+F125+F132</f>
        <v>3894.3030051182977</v>
      </c>
      <c r="G138" s="82">
        <f t="shared" si="51"/>
        <v>7560.866688284611</v>
      </c>
      <c r="H138" s="82">
        <f t="shared" si="51"/>
        <v>120019.24937486922</v>
      </c>
      <c r="I138" s="82">
        <f t="shared" si="51"/>
        <v>0</v>
      </c>
      <c r="J138" s="82">
        <f t="shared" si="51"/>
        <v>28883.399862470273</v>
      </c>
      <c r="K138" s="82">
        <f t="shared" si="51"/>
        <v>0</v>
      </c>
      <c r="L138" s="34"/>
      <c r="M138" s="83">
        <f>M96+M103+M112+M118+M125+M132</f>
        <v>167239.82405768297</v>
      </c>
      <c r="N138" s="335">
        <f>SUM(N96:N132)</f>
        <v>167239.76</v>
      </c>
      <c r="O138" s="335">
        <f>N138-M138</f>
        <v>-6.4057682960992679E-2</v>
      </c>
    </row>
    <row r="139" spans="1:15" x14ac:dyDescent="0.3">
      <c r="B139" s="536"/>
      <c r="M139" s="43"/>
    </row>
    <row r="140" spans="1:15" x14ac:dyDescent="0.3">
      <c r="B140" s="537"/>
      <c r="C140" s="89" t="s">
        <v>99</v>
      </c>
      <c r="D140" s="29"/>
      <c r="E140" s="28"/>
      <c r="F140" s="28"/>
      <c r="G140" s="28"/>
      <c r="H140" s="28"/>
      <c r="I140" s="28"/>
      <c r="J140" s="28"/>
      <c r="K140" s="28"/>
      <c r="L140" s="28"/>
      <c r="M140" s="90">
        <f>M94+M138</f>
        <v>429627.01729404659</v>
      </c>
      <c r="N140" s="335">
        <f>N138+N94</f>
        <v>430049.82</v>
      </c>
      <c r="O140" s="335">
        <f>N140-M140</f>
        <v>422.80270595342154</v>
      </c>
    </row>
    <row r="142" spans="1:15" ht="14.4" customHeight="1" x14ac:dyDescent="0.3">
      <c r="A142" t="s">
        <v>100</v>
      </c>
      <c r="B142" s="361"/>
      <c r="C142" s="91"/>
      <c r="D142" s="6"/>
      <c r="E142" s="5"/>
      <c r="F142" s="5"/>
      <c r="G142" s="92"/>
      <c r="H142" s="5"/>
      <c r="I142" s="5"/>
      <c r="J142" s="5"/>
      <c r="K142" s="5"/>
      <c r="L142" s="5"/>
      <c r="M142" s="8"/>
    </row>
    <row r="143" spans="1:15" x14ac:dyDescent="0.3">
      <c r="B143" s="362"/>
      <c r="C143" s="89" t="s">
        <v>102</v>
      </c>
      <c r="D143" s="29"/>
      <c r="E143" s="44">
        <f>E145*E148</f>
        <v>94714.596265521002</v>
      </c>
      <c r="F143" s="44">
        <f t="shared" ref="F143:K143" si="52">F145*F148</f>
        <v>11839.324533190125</v>
      </c>
      <c r="G143" s="44">
        <f t="shared" si="52"/>
        <v>82875.271732330875</v>
      </c>
      <c r="H143" s="44">
        <f t="shared" si="52"/>
        <v>260465.13973018277</v>
      </c>
      <c r="I143" s="44">
        <f t="shared" si="52"/>
        <v>0</v>
      </c>
      <c r="J143" s="44">
        <f t="shared" si="52"/>
        <v>71035.947199140763</v>
      </c>
      <c r="K143" s="44">
        <f t="shared" si="52"/>
        <v>0</v>
      </c>
      <c r="L143" s="45"/>
      <c r="M143" s="32">
        <f>SUM(E143:K143)</f>
        <v>520930.27946036553</v>
      </c>
    </row>
    <row r="144" spans="1:15" x14ac:dyDescent="0.3">
      <c r="B144" s="362"/>
      <c r="C144" s="78" t="s">
        <v>103</v>
      </c>
      <c r="D144" s="34"/>
      <c r="E144" s="48">
        <f>Tabelas_Coeficientes!B14</f>
        <v>2.44</v>
      </c>
      <c r="F144" s="48">
        <f t="shared" ref="F144:K144" si="53">E144</f>
        <v>2.44</v>
      </c>
      <c r="G144" s="48">
        <f t="shared" si="53"/>
        <v>2.44</v>
      </c>
      <c r="H144" s="48">
        <f t="shared" si="53"/>
        <v>2.44</v>
      </c>
      <c r="I144" s="48">
        <f t="shared" si="53"/>
        <v>2.44</v>
      </c>
      <c r="J144" s="48">
        <f t="shared" si="53"/>
        <v>2.44</v>
      </c>
      <c r="K144" s="48">
        <f t="shared" si="53"/>
        <v>2.44</v>
      </c>
      <c r="L144" s="34"/>
      <c r="M144" s="53"/>
    </row>
    <row r="145" spans="2:14" x14ac:dyDescent="0.3">
      <c r="B145" s="362"/>
      <c r="C145" s="78" t="s">
        <v>104</v>
      </c>
      <c r="D145" s="34"/>
      <c r="E145" s="79">
        <f>E144*E$7</f>
        <v>19.52</v>
      </c>
      <c r="F145" s="79">
        <f t="shared" ref="F145:K145" si="54">F144*F$7</f>
        <v>2.44</v>
      </c>
      <c r="G145" s="79">
        <f t="shared" si="54"/>
        <v>17.079999999999998</v>
      </c>
      <c r="H145" s="79">
        <f t="shared" si="54"/>
        <v>53.68</v>
      </c>
      <c r="I145" s="79">
        <f t="shared" si="54"/>
        <v>0</v>
      </c>
      <c r="J145" s="79">
        <f>J144*J$7</f>
        <v>14.64</v>
      </c>
      <c r="K145" s="79">
        <f t="shared" si="54"/>
        <v>0</v>
      </c>
      <c r="L145" s="34"/>
      <c r="M145" s="93">
        <f>SUM(E145:L145)</f>
        <v>107.36</v>
      </c>
    </row>
    <row r="146" spans="2:14" x14ac:dyDescent="0.3">
      <c r="B146" s="362"/>
      <c r="C146" s="78" t="s">
        <v>105</v>
      </c>
      <c r="D146" s="94"/>
      <c r="E146" s="435">
        <f>Tabelas_Prc_Insumos!D15</f>
        <v>3181.7170828800004</v>
      </c>
      <c r="F146" s="435">
        <f t="shared" ref="F146:K146" si="55">E146</f>
        <v>3181.7170828800004</v>
      </c>
      <c r="G146" s="435">
        <f t="shared" si="55"/>
        <v>3181.7170828800004</v>
      </c>
      <c r="H146" s="435">
        <f t="shared" si="55"/>
        <v>3181.7170828800004</v>
      </c>
      <c r="I146" s="435">
        <f t="shared" si="55"/>
        <v>3181.7170828800004</v>
      </c>
      <c r="J146" s="95">
        <f t="shared" si="55"/>
        <v>3181.7170828800004</v>
      </c>
      <c r="K146" s="95">
        <f t="shared" si="55"/>
        <v>3181.7170828800004</v>
      </c>
      <c r="L146" s="34"/>
      <c r="M146" s="53"/>
      <c r="N146" s="426" t="s">
        <v>399</v>
      </c>
    </row>
    <row r="147" spans="2:14" x14ac:dyDescent="0.3">
      <c r="B147" s="362"/>
      <c r="C147" s="78" t="s">
        <v>106</v>
      </c>
      <c r="D147" s="74">
        <f>Tabelas_Coeficientes!B21</f>
        <v>0.52502000000000004</v>
      </c>
      <c r="E147" s="95">
        <f>$D$147*E146</f>
        <v>1670.465102853658</v>
      </c>
      <c r="F147" s="95">
        <f t="shared" ref="F147:K147" si="56">$D$147*F146</f>
        <v>1670.465102853658</v>
      </c>
      <c r="G147" s="95">
        <f t="shared" si="56"/>
        <v>1670.465102853658</v>
      </c>
      <c r="H147" s="95">
        <f t="shared" si="56"/>
        <v>1670.465102853658</v>
      </c>
      <c r="I147" s="95">
        <f t="shared" si="56"/>
        <v>1670.465102853658</v>
      </c>
      <c r="J147" s="95">
        <f t="shared" si="56"/>
        <v>1670.465102853658</v>
      </c>
      <c r="K147" s="95">
        <f t="shared" si="56"/>
        <v>1670.465102853658</v>
      </c>
      <c r="L147" s="34"/>
      <c r="M147" s="53"/>
    </row>
    <row r="148" spans="2:14" x14ac:dyDescent="0.3">
      <c r="B148" s="362"/>
      <c r="C148" s="78" t="s">
        <v>107</v>
      </c>
      <c r="D148" s="94"/>
      <c r="E148" s="95">
        <f>SUM(E146:E147)</f>
        <v>4852.1821857336581</v>
      </c>
      <c r="F148" s="95">
        <f t="shared" ref="F148:K148" si="57">SUM(F146:F147)</f>
        <v>4852.1821857336581</v>
      </c>
      <c r="G148" s="95">
        <f t="shared" si="57"/>
        <v>4852.1821857336581</v>
      </c>
      <c r="H148" s="95">
        <f t="shared" si="57"/>
        <v>4852.1821857336581</v>
      </c>
      <c r="I148" s="95">
        <f t="shared" si="57"/>
        <v>4852.1821857336581</v>
      </c>
      <c r="J148" s="95">
        <f t="shared" si="57"/>
        <v>4852.1821857336581</v>
      </c>
      <c r="K148" s="95">
        <f t="shared" si="57"/>
        <v>4852.1821857336581</v>
      </c>
      <c r="L148" s="34"/>
      <c r="M148" s="53"/>
    </row>
    <row r="149" spans="2:14" x14ac:dyDescent="0.3">
      <c r="B149" s="362"/>
      <c r="C149" s="78" t="s">
        <v>59</v>
      </c>
      <c r="D149" s="94"/>
      <c r="E149" s="95">
        <f>E146*(1+$D$147)*E144</f>
        <v>11839.324533190125</v>
      </c>
      <c r="F149" s="95">
        <f t="shared" ref="F149:K149" si="58">F146*(1+$D$147)*F144</f>
        <v>11839.324533190125</v>
      </c>
      <c r="G149" s="95">
        <f t="shared" si="58"/>
        <v>11839.324533190125</v>
      </c>
      <c r="H149" s="95">
        <f t="shared" si="58"/>
        <v>11839.324533190125</v>
      </c>
      <c r="I149" s="95">
        <f t="shared" si="58"/>
        <v>11839.324533190125</v>
      </c>
      <c r="J149" s="95">
        <f t="shared" si="58"/>
        <v>11839.324533190125</v>
      </c>
      <c r="K149" s="95">
        <f t="shared" si="58"/>
        <v>11839.324533190125</v>
      </c>
      <c r="L149" s="34"/>
      <c r="M149" s="53"/>
    </row>
    <row r="150" spans="2:14" x14ac:dyDescent="0.3">
      <c r="B150" s="362"/>
      <c r="C150" s="78"/>
      <c r="D150" s="34"/>
      <c r="E150" s="59"/>
      <c r="F150" s="59"/>
      <c r="G150" s="59"/>
      <c r="H150" s="59"/>
      <c r="I150" s="59"/>
      <c r="J150" s="59"/>
      <c r="K150" s="59"/>
      <c r="L150" s="59"/>
      <c r="M150" s="61"/>
    </row>
    <row r="151" spans="2:14" x14ac:dyDescent="0.3">
      <c r="B151" s="362"/>
      <c r="C151" s="89" t="s">
        <v>108</v>
      </c>
      <c r="D151" s="29"/>
      <c r="E151" s="44">
        <f>E153*E156</f>
        <v>0</v>
      </c>
      <c r="F151" s="44">
        <f t="shared" ref="F151:K151" si="59">F153*F156</f>
        <v>0</v>
      </c>
      <c r="G151" s="44">
        <f t="shared" si="59"/>
        <v>0</v>
      </c>
      <c r="H151" s="44">
        <f t="shared" si="59"/>
        <v>0</v>
      </c>
      <c r="I151" s="44">
        <f t="shared" si="59"/>
        <v>0</v>
      </c>
      <c r="J151" s="44">
        <f t="shared" si="59"/>
        <v>0</v>
      </c>
      <c r="K151" s="44">
        <f t="shared" si="59"/>
        <v>0</v>
      </c>
      <c r="L151" s="45"/>
      <c r="M151" s="32">
        <f>SUM(E151:K151)</f>
        <v>0</v>
      </c>
    </row>
    <row r="152" spans="2:14" x14ac:dyDescent="0.3">
      <c r="B152" s="362"/>
      <c r="C152" s="78" t="s">
        <v>103</v>
      </c>
      <c r="D152" s="34"/>
      <c r="E152" s="48">
        <f>Tabelas_Coeficientes!B15</f>
        <v>0</v>
      </c>
      <c r="F152" s="48">
        <f t="shared" ref="F152:K152" si="60">E152</f>
        <v>0</v>
      </c>
      <c r="G152" s="48">
        <f t="shared" si="60"/>
        <v>0</v>
      </c>
      <c r="H152" s="48">
        <f t="shared" si="60"/>
        <v>0</v>
      </c>
      <c r="I152" s="48">
        <f t="shared" si="60"/>
        <v>0</v>
      </c>
      <c r="J152" s="48">
        <f t="shared" si="60"/>
        <v>0</v>
      </c>
      <c r="K152" s="48">
        <f t="shared" si="60"/>
        <v>0</v>
      </c>
      <c r="L152" s="59"/>
      <c r="M152" s="61"/>
    </row>
    <row r="153" spans="2:14" x14ac:dyDescent="0.3">
      <c r="B153" s="362"/>
      <c r="C153" s="78" t="s">
        <v>104</v>
      </c>
      <c r="D153" s="34"/>
      <c r="E153" s="79">
        <f t="shared" ref="E153:K153" si="61">E152*E$7</f>
        <v>0</v>
      </c>
      <c r="F153" s="79">
        <f t="shared" si="61"/>
        <v>0</v>
      </c>
      <c r="G153" s="79">
        <f t="shared" si="61"/>
        <v>0</v>
      </c>
      <c r="H153" s="79">
        <f t="shared" si="61"/>
        <v>0</v>
      </c>
      <c r="I153" s="79">
        <f t="shared" si="61"/>
        <v>0</v>
      </c>
      <c r="J153" s="79">
        <f t="shared" si="61"/>
        <v>0</v>
      </c>
      <c r="K153" s="79">
        <f t="shared" si="61"/>
        <v>0</v>
      </c>
      <c r="L153" s="59"/>
      <c r="M153" s="93">
        <f>SUM(E153:L153)</f>
        <v>0</v>
      </c>
    </row>
    <row r="154" spans="2:14" x14ac:dyDescent="0.3">
      <c r="B154" s="362"/>
      <c r="C154" s="78" t="s">
        <v>105</v>
      </c>
      <c r="D154" s="94"/>
      <c r="E154" s="95">
        <f>Tabelas_Prc_Insumos!D16</f>
        <v>1767.2713239999996</v>
      </c>
      <c r="F154" s="95">
        <f t="shared" ref="F154:K154" si="62">E154</f>
        <v>1767.2713239999996</v>
      </c>
      <c r="G154" s="95">
        <f t="shared" si="62"/>
        <v>1767.2713239999996</v>
      </c>
      <c r="H154" s="95">
        <f t="shared" si="62"/>
        <v>1767.2713239999996</v>
      </c>
      <c r="I154" s="95">
        <f t="shared" si="62"/>
        <v>1767.2713239999996</v>
      </c>
      <c r="J154" s="95">
        <f t="shared" si="62"/>
        <v>1767.2713239999996</v>
      </c>
      <c r="K154" s="95">
        <f t="shared" si="62"/>
        <v>1767.2713239999996</v>
      </c>
      <c r="L154" s="59"/>
      <c r="M154" s="61"/>
    </row>
    <row r="155" spans="2:14" x14ac:dyDescent="0.3">
      <c r="B155" s="362"/>
      <c r="C155" s="78" t="s">
        <v>106</v>
      </c>
      <c r="D155" s="86">
        <f>D147</f>
        <v>0.52502000000000004</v>
      </c>
      <c r="E155" s="95">
        <f t="shared" ref="E155:K155" si="63">$D$155*E154</f>
        <v>927.85279052647991</v>
      </c>
      <c r="F155" s="95">
        <f t="shared" si="63"/>
        <v>927.85279052647991</v>
      </c>
      <c r="G155" s="95">
        <f t="shared" si="63"/>
        <v>927.85279052647991</v>
      </c>
      <c r="H155" s="95">
        <f t="shared" si="63"/>
        <v>927.85279052647991</v>
      </c>
      <c r="I155" s="95">
        <f t="shared" si="63"/>
        <v>927.85279052647991</v>
      </c>
      <c r="J155" s="95">
        <f t="shared" si="63"/>
        <v>927.85279052647991</v>
      </c>
      <c r="K155" s="95">
        <f t="shared" si="63"/>
        <v>927.85279052647991</v>
      </c>
      <c r="L155" s="34"/>
      <c r="M155" s="53"/>
    </row>
    <row r="156" spans="2:14" x14ac:dyDescent="0.3">
      <c r="B156" s="362"/>
      <c r="C156" s="78" t="s">
        <v>107</v>
      </c>
      <c r="D156" s="94"/>
      <c r="E156" s="95">
        <f t="shared" ref="E156:K156" si="64">SUM(E154:E155)</f>
        <v>2695.1241145264794</v>
      </c>
      <c r="F156" s="95">
        <f t="shared" si="64"/>
        <v>2695.1241145264794</v>
      </c>
      <c r="G156" s="95">
        <f t="shared" si="64"/>
        <v>2695.1241145264794</v>
      </c>
      <c r="H156" s="95">
        <f t="shared" si="64"/>
        <v>2695.1241145264794</v>
      </c>
      <c r="I156" s="95">
        <f t="shared" si="64"/>
        <v>2695.1241145264794</v>
      </c>
      <c r="J156" s="95">
        <f t="shared" si="64"/>
        <v>2695.1241145264794</v>
      </c>
      <c r="K156" s="95">
        <f t="shared" si="64"/>
        <v>2695.1241145264794</v>
      </c>
      <c r="L156" s="34"/>
      <c r="M156" s="53"/>
    </row>
    <row r="157" spans="2:14" x14ac:dyDescent="0.3">
      <c r="B157" s="362"/>
      <c r="C157" s="78" t="s">
        <v>59</v>
      </c>
      <c r="D157" s="94"/>
      <c r="E157" s="95">
        <f t="shared" ref="E157:K157" si="65">E154*(1+$D$155)*E152</f>
        <v>0</v>
      </c>
      <c r="F157" s="95">
        <f t="shared" si="65"/>
        <v>0</v>
      </c>
      <c r="G157" s="95">
        <f t="shared" si="65"/>
        <v>0</v>
      </c>
      <c r="H157" s="95">
        <f t="shared" si="65"/>
        <v>0</v>
      </c>
      <c r="I157" s="95">
        <f t="shared" si="65"/>
        <v>0</v>
      </c>
      <c r="J157" s="95">
        <f t="shared" si="65"/>
        <v>0</v>
      </c>
      <c r="K157" s="95">
        <f t="shared" si="65"/>
        <v>0</v>
      </c>
      <c r="L157" s="34"/>
      <c r="M157" s="53"/>
    </row>
    <row r="158" spans="2:14" x14ac:dyDescent="0.3">
      <c r="B158" s="362"/>
      <c r="C158" s="17"/>
      <c r="D158" s="94"/>
      <c r="G158" s="59"/>
      <c r="M158" s="43"/>
    </row>
    <row r="159" spans="2:14" x14ac:dyDescent="0.3">
      <c r="B159" s="362"/>
      <c r="C159" s="89" t="s">
        <v>109</v>
      </c>
      <c r="D159" s="29"/>
      <c r="E159" s="44">
        <f t="shared" ref="E159:K159" si="66">E161*E164</f>
        <v>17971.045132346881</v>
      </c>
      <c r="F159" s="44">
        <f t="shared" si="66"/>
        <v>2246.3806415433601</v>
      </c>
      <c r="G159" s="44">
        <f t="shared" si="66"/>
        <v>15724.66449080352</v>
      </c>
      <c r="H159" s="44">
        <f t="shared" si="66"/>
        <v>49420.37411395392</v>
      </c>
      <c r="I159" s="44">
        <f t="shared" si="66"/>
        <v>0</v>
      </c>
      <c r="J159" s="44">
        <f t="shared" si="66"/>
        <v>13478.28384926016</v>
      </c>
      <c r="K159" s="44">
        <f t="shared" si="66"/>
        <v>0</v>
      </c>
      <c r="L159" s="45"/>
      <c r="M159" s="32">
        <f>SUM(E159:K159)</f>
        <v>98840.748227907839</v>
      </c>
    </row>
    <row r="160" spans="2:14" x14ac:dyDescent="0.3">
      <c r="B160" s="362"/>
      <c r="C160" s="78" t="s">
        <v>103</v>
      </c>
      <c r="D160" s="34"/>
      <c r="E160" s="48">
        <f>Tabelas_Coeficientes!B16</f>
        <v>0.5</v>
      </c>
      <c r="F160" s="48">
        <f t="shared" ref="F160:K160" si="67">E160</f>
        <v>0.5</v>
      </c>
      <c r="G160" s="48">
        <f t="shared" si="67"/>
        <v>0.5</v>
      </c>
      <c r="H160" s="48">
        <f t="shared" si="67"/>
        <v>0.5</v>
      </c>
      <c r="I160" s="48">
        <f t="shared" si="67"/>
        <v>0.5</v>
      </c>
      <c r="J160" s="48">
        <f t="shared" si="67"/>
        <v>0.5</v>
      </c>
      <c r="K160" s="48">
        <f t="shared" si="67"/>
        <v>0.5</v>
      </c>
      <c r="L160" s="59"/>
      <c r="M160" s="61"/>
    </row>
    <row r="161" spans="1:13" x14ac:dyDescent="0.3">
      <c r="B161" s="362"/>
      <c r="C161" s="78" t="s">
        <v>104</v>
      </c>
      <c r="D161" s="34"/>
      <c r="E161" s="79">
        <f t="shared" ref="E161:K161" si="68">E160*E$7</f>
        <v>4</v>
      </c>
      <c r="F161" s="79">
        <f t="shared" si="68"/>
        <v>0.5</v>
      </c>
      <c r="G161" s="79">
        <f t="shared" si="68"/>
        <v>3.5</v>
      </c>
      <c r="H161" s="79">
        <f t="shared" si="68"/>
        <v>11</v>
      </c>
      <c r="I161" s="79">
        <f t="shared" si="68"/>
        <v>0</v>
      </c>
      <c r="J161" s="79">
        <f t="shared" si="68"/>
        <v>3</v>
      </c>
      <c r="K161" s="79">
        <f t="shared" si="68"/>
        <v>0</v>
      </c>
      <c r="L161" s="59"/>
      <c r="M161" s="93">
        <f>SUM(E161:L161)</f>
        <v>22</v>
      </c>
    </row>
    <row r="162" spans="1:13" x14ac:dyDescent="0.3">
      <c r="B162" s="362"/>
      <c r="C162" s="78" t="s">
        <v>105</v>
      </c>
      <c r="D162" s="94"/>
      <c r="E162" s="95">
        <f>Tabelas_Prc_Insumos!D17</f>
        <v>2946.0343360000002</v>
      </c>
      <c r="F162" s="95">
        <f t="shared" ref="F162:K162" si="69">E162</f>
        <v>2946.0343360000002</v>
      </c>
      <c r="G162" s="95">
        <f t="shared" si="69"/>
        <v>2946.0343360000002</v>
      </c>
      <c r="H162" s="95">
        <f t="shared" si="69"/>
        <v>2946.0343360000002</v>
      </c>
      <c r="I162" s="95">
        <f t="shared" si="69"/>
        <v>2946.0343360000002</v>
      </c>
      <c r="J162" s="95">
        <f t="shared" si="69"/>
        <v>2946.0343360000002</v>
      </c>
      <c r="K162" s="95">
        <f t="shared" si="69"/>
        <v>2946.0343360000002</v>
      </c>
      <c r="L162" s="59"/>
      <c r="M162" s="61"/>
    </row>
    <row r="163" spans="1:13" x14ac:dyDescent="0.3">
      <c r="B163" s="362"/>
      <c r="C163" s="78" t="s">
        <v>106</v>
      </c>
      <c r="D163" s="86">
        <f>D147</f>
        <v>0.52502000000000004</v>
      </c>
      <c r="E163" s="95">
        <f t="shared" ref="E163:K163" si="70">$D$163*E162</f>
        <v>1546.7269470867202</v>
      </c>
      <c r="F163" s="95">
        <f t="shared" si="70"/>
        <v>1546.7269470867202</v>
      </c>
      <c r="G163" s="95">
        <f t="shared" si="70"/>
        <v>1546.7269470867202</v>
      </c>
      <c r="H163" s="95">
        <f t="shared" si="70"/>
        <v>1546.7269470867202</v>
      </c>
      <c r="I163" s="95">
        <f t="shared" si="70"/>
        <v>1546.7269470867202</v>
      </c>
      <c r="J163" s="95">
        <f t="shared" si="70"/>
        <v>1546.7269470867202</v>
      </c>
      <c r="K163" s="95">
        <f t="shared" si="70"/>
        <v>1546.7269470867202</v>
      </c>
      <c r="L163" s="34"/>
      <c r="M163" s="53"/>
    </row>
    <row r="164" spans="1:13" x14ac:dyDescent="0.3">
      <c r="B164" s="362"/>
      <c r="C164" s="78" t="s">
        <v>107</v>
      </c>
      <c r="D164" s="94"/>
      <c r="E164" s="95">
        <f t="shared" ref="E164:K164" si="71">SUM(E162:E163)</f>
        <v>4492.7612830867201</v>
      </c>
      <c r="F164" s="95">
        <f t="shared" si="71"/>
        <v>4492.7612830867201</v>
      </c>
      <c r="G164" s="95">
        <f t="shared" si="71"/>
        <v>4492.7612830867201</v>
      </c>
      <c r="H164" s="95">
        <f t="shared" si="71"/>
        <v>4492.7612830867201</v>
      </c>
      <c r="I164" s="95">
        <f t="shared" si="71"/>
        <v>4492.7612830867201</v>
      </c>
      <c r="J164" s="95">
        <f t="shared" si="71"/>
        <v>4492.7612830867201</v>
      </c>
      <c r="K164" s="95">
        <f t="shared" si="71"/>
        <v>4492.7612830867201</v>
      </c>
      <c r="L164" s="34"/>
      <c r="M164" s="53"/>
    </row>
    <row r="165" spans="1:13" x14ac:dyDescent="0.3">
      <c r="B165" s="362"/>
      <c r="C165" s="78" t="s">
        <v>59</v>
      </c>
      <c r="D165" s="94"/>
      <c r="E165" s="95">
        <f t="shared" ref="E165:K165" si="72">E162*(1+$D$163)*E160</f>
        <v>2246.3806415433601</v>
      </c>
      <c r="F165" s="95">
        <f t="shared" si="72"/>
        <v>2246.3806415433601</v>
      </c>
      <c r="G165" s="95">
        <f t="shared" si="72"/>
        <v>2246.3806415433601</v>
      </c>
      <c r="H165" s="95">
        <f t="shared" si="72"/>
        <v>2246.3806415433601</v>
      </c>
      <c r="I165" s="95">
        <f t="shared" si="72"/>
        <v>2246.3806415433601</v>
      </c>
      <c r="J165" s="95">
        <f t="shared" si="72"/>
        <v>2246.3806415433601</v>
      </c>
      <c r="K165" s="95">
        <f t="shared" si="72"/>
        <v>2246.3806415433601</v>
      </c>
      <c r="L165" s="34"/>
      <c r="M165" s="53"/>
    </row>
    <row r="166" spans="1:13" x14ac:dyDescent="0.3">
      <c r="B166" s="362"/>
      <c r="C166" s="78"/>
      <c r="D166" s="94"/>
      <c r="E166" s="95"/>
      <c r="F166" s="95"/>
      <c r="G166" s="95"/>
      <c r="H166" s="95"/>
      <c r="I166" s="95"/>
      <c r="J166" s="95"/>
      <c r="K166" s="95"/>
      <c r="L166" s="59"/>
      <c r="M166" s="61"/>
    </row>
    <row r="167" spans="1:13" x14ac:dyDescent="0.3">
      <c r="B167" s="362"/>
      <c r="C167" s="89" t="s">
        <v>110</v>
      </c>
      <c r="D167" s="29"/>
      <c r="E167" s="44">
        <f t="shared" ref="E167:K167" si="73">E169*E172</f>
        <v>17971.045132346881</v>
      </c>
      <c r="F167" s="44">
        <f t="shared" si="73"/>
        <v>2246.3806415433601</v>
      </c>
      <c r="G167" s="44">
        <f t="shared" si="73"/>
        <v>15724.66449080352</v>
      </c>
      <c r="H167" s="44">
        <f t="shared" si="73"/>
        <v>49420.37411395392</v>
      </c>
      <c r="I167" s="44">
        <f t="shared" si="73"/>
        <v>0</v>
      </c>
      <c r="J167" s="44">
        <f t="shared" si="73"/>
        <v>13478.28384926016</v>
      </c>
      <c r="K167" s="44">
        <f t="shared" si="73"/>
        <v>0</v>
      </c>
      <c r="L167" s="45"/>
      <c r="M167" s="32">
        <f>SUM(E167:K167)</f>
        <v>98840.748227907839</v>
      </c>
    </row>
    <row r="168" spans="1:13" x14ac:dyDescent="0.3">
      <c r="B168" s="362"/>
      <c r="C168" s="78" t="s">
        <v>103</v>
      </c>
      <c r="D168" s="34"/>
      <c r="E168" s="48">
        <f>Tabelas_Coeficientes!B16</f>
        <v>0.5</v>
      </c>
      <c r="F168" s="48">
        <f t="shared" ref="F168:K168" si="74">E168</f>
        <v>0.5</v>
      </c>
      <c r="G168" s="48">
        <f t="shared" si="74"/>
        <v>0.5</v>
      </c>
      <c r="H168" s="48">
        <f t="shared" si="74"/>
        <v>0.5</v>
      </c>
      <c r="I168" s="48">
        <f t="shared" si="74"/>
        <v>0.5</v>
      </c>
      <c r="J168" s="48">
        <f t="shared" si="74"/>
        <v>0.5</v>
      </c>
      <c r="K168" s="48">
        <f t="shared" si="74"/>
        <v>0.5</v>
      </c>
      <c r="L168" s="59"/>
      <c r="M168" s="61"/>
    </row>
    <row r="169" spans="1:13" x14ac:dyDescent="0.3">
      <c r="B169" s="362"/>
      <c r="C169" s="78" t="s">
        <v>104</v>
      </c>
      <c r="D169" s="34"/>
      <c r="E169" s="79">
        <f t="shared" ref="E169:K169" si="75">E168*E$7</f>
        <v>4</v>
      </c>
      <c r="F169" s="79">
        <f t="shared" si="75"/>
        <v>0.5</v>
      </c>
      <c r="G169" s="79">
        <f t="shared" si="75"/>
        <v>3.5</v>
      </c>
      <c r="H169" s="79">
        <f t="shared" si="75"/>
        <v>11</v>
      </c>
      <c r="I169" s="79">
        <f t="shared" si="75"/>
        <v>0</v>
      </c>
      <c r="J169" s="79">
        <f t="shared" si="75"/>
        <v>3</v>
      </c>
      <c r="K169" s="79">
        <f t="shared" si="75"/>
        <v>0</v>
      </c>
      <c r="L169" s="59"/>
      <c r="M169" s="93">
        <f>SUM(E169:L169)</f>
        <v>22</v>
      </c>
    </row>
    <row r="170" spans="1:13" x14ac:dyDescent="0.3">
      <c r="B170" s="362"/>
      <c r="C170" s="78" t="s">
        <v>105</v>
      </c>
      <c r="D170" s="94"/>
      <c r="E170" s="95">
        <f>E162</f>
        <v>2946.0343360000002</v>
      </c>
      <c r="F170" s="95">
        <f t="shared" ref="F170:K170" si="76">E170</f>
        <v>2946.0343360000002</v>
      </c>
      <c r="G170" s="95">
        <f t="shared" si="76"/>
        <v>2946.0343360000002</v>
      </c>
      <c r="H170" s="95">
        <f t="shared" si="76"/>
        <v>2946.0343360000002</v>
      </c>
      <c r="I170" s="95">
        <f t="shared" si="76"/>
        <v>2946.0343360000002</v>
      </c>
      <c r="J170" s="95">
        <f t="shared" si="76"/>
        <v>2946.0343360000002</v>
      </c>
      <c r="K170" s="95">
        <f t="shared" si="76"/>
        <v>2946.0343360000002</v>
      </c>
      <c r="L170" s="59"/>
      <c r="M170" s="61"/>
    </row>
    <row r="171" spans="1:13" x14ac:dyDescent="0.3">
      <c r="B171" s="362"/>
      <c r="C171" s="78" t="s">
        <v>106</v>
      </c>
      <c r="D171" s="86">
        <f>D155</f>
        <v>0.52502000000000004</v>
      </c>
      <c r="E171" s="95">
        <f t="shared" ref="E171:K171" si="77">$D$171*E170</f>
        <v>1546.7269470867202</v>
      </c>
      <c r="F171" s="95">
        <f t="shared" si="77"/>
        <v>1546.7269470867202</v>
      </c>
      <c r="G171" s="95">
        <f t="shared" si="77"/>
        <v>1546.7269470867202</v>
      </c>
      <c r="H171" s="95">
        <f t="shared" si="77"/>
        <v>1546.7269470867202</v>
      </c>
      <c r="I171" s="95">
        <f t="shared" si="77"/>
        <v>1546.7269470867202</v>
      </c>
      <c r="J171" s="95">
        <f t="shared" si="77"/>
        <v>1546.7269470867202</v>
      </c>
      <c r="K171" s="95">
        <f t="shared" si="77"/>
        <v>1546.7269470867202</v>
      </c>
      <c r="L171" s="34"/>
      <c r="M171" s="53"/>
    </row>
    <row r="172" spans="1:13" x14ac:dyDescent="0.3">
      <c r="B172" s="362"/>
      <c r="C172" s="78" t="s">
        <v>107</v>
      </c>
      <c r="D172" s="94"/>
      <c r="E172" s="95">
        <f t="shared" ref="E172:K172" si="78">SUM(E170:E171)</f>
        <v>4492.7612830867201</v>
      </c>
      <c r="F172" s="95">
        <f t="shared" si="78"/>
        <v>4492.7612830867201</v>
      </c>
      <c r="G172" s="95">
        <f t="shared" si="78"/>
        <v>4492.7612830867201</v>
      </c>
      <c r="H172" s="95">
        <f t="shared" si="78"/>
        <v>4492.7612830867201</v>
      </c>
      <c r="I172" s="95">
        <f t="shared" si="78"/>
        <v>4492.7612830867201</v>
      </c>
      <c r="J172" s="95">
        <f t="shared" si="78"/>
        <v>4492.7612830867201</v>
      </c>
      <c r="K172" s="95">
        <f t="shared" si="78"/>
        <v>4492.7612830867201</v>
      </c>
      <c r="L172" s="34"/>
      <c r="M172" s="53"/>
    </row>
    <row r="173" spans="1:13" x14ac:dyDescent="0.3">
      <c r="B173" s="362"/>
      <c r="C173" s="78" t="s">
        <v>59</v>
      </c>
      <c r="D173" s="94"/>
      <c r="E173" s="95">
        <f t="shared" ref="E173:K173" si="79">E170*(1+$D$171)*E168</f>
        <v>2246.3806415433601</v>
      </c>
      <c r="F173" s="95">
        <f t="shared" si="79"/>
        <v>2246.3806415433601</v>
      </c>
      <c r="G173" s="95">
        <f t="shared" si="79"/>
        <v>2246.3806415433601</v>
      </c>
      <c r="H173" s="95">
        <f t="shared" si="79"/>
        <v>2246.3806415433601</v>
      </c>
      <c r="I173" s="95">
        <f t="shared" si="79"/>
        <v>2246.3806415433601</v>
      </c>
      <c r="J173" s="95">
        <f t="shared" si="79"/>
        <v>2246.3806415433601</v>
      </c>
      <c r="K173" s="95">
        <f t="shared" si="79"/>
        <v>2246.3806415433601</v>
      </c>
      <c r="L173" s="34"/>
      <c r="M173" s="53"/>
    </row>
    <row r="174" spans="1:13" x14ac:dyDescent="0.3">
      <c r="B174" s="362"/>
      <c r="C174" s="78"/>
      <c r="D174" s="94"/>
      <c r="E174" s="95"/>
      <c r="F174" s="95"/>
      <c r="G174" s="95"/>
      <c r="H174" s="95"/>
      <c r="I174" s="95"/>
      <c r="J174" s="95"/>
      <c r="K174" s="95"/>
      <c r="L174" s="59"/>
      <c r="M174" s="61"/>
    </row>
    <row r="175" spans="1:13" x14ac:dyDescent="0.3">
      <c r="A175" t="s">
        <v>100</v>
      </c>
      <c r="B175" s="362"/>
      <c r="C175" s="81" t="s">
        <v>111</v>
      </c>
      <c r="D175" s="94"/>
      <c r="E175" s="82">
        <f>(E144*E146+E152*E154+E160*E162+E168*E170)*(1+$D$147)*E7</f>
        <v>130656.68653021476</v>
      </c>
      <c r="F175" s="82">
        <f t="shared" ref="F175:K175" si="80">(F144*F146+F152*F154+F160*F162+F168*F170)*(1+$D$147)*F7</f>
        <v>16332.085816276845</v>
      </c>
      <c r="G175" s="82">
        <f t="shared" si="80"/>
        <v>114324.60071393792</v>
      </c>
      <c r="H175" s="82">
        <f t="shared" si="80"/>
        <v>359305.88795809058</v>
      </c>
      <c r="I175" s="82">
        <f t="shared" si="80"/>
        <v>0</v>
      </c>
      <c r="J175" s="82">
        <f t="shared" si="80"/>
        <v>97992.51489766108</v>
      </c>
      <c r="K175" s="82">
        <f t="shared" si="80"/>
        <v>0</v>
      </c>
      <c r="L175" s="34"/>
      <c r="M175" s="83">
        <f>SUM(E175:K175)</f>
        <v>718611.77591618116</v>
      </c>
    </row>
    <row r="176" spans="1:13" x14ac:dyDescent="0.3">
      <c r="B176" s="539" t="s">
        <v>101</v>
      </c>
      <c r="C176" s="78"/>
      <c r="D176" s="94"/>
      <c r="E176" s="95"/>
      <c r="F176" s="95"/>
      <c r="G176" s="95"/>
      <c r="H176" s="95"/>
      <c r="I176" s="95"/>
      <c r="J176" s="95"/>
      <c r="K176" s="95"/>
      <c r="L176" s="59"/>
      <c r="M176" s="61"/>
    </row>
    <row r="177" spans="1:15" ht="14.4" customHeight="1" x14ac:dyDescent="0.3">
      <c r="A177" t="s">
        <v>112</v>
      </c>
      <c r="B177" s="539"/>
      <c r="C177" s="96" t="s">
        <v>113</v>
      </c>
      <c r="D177" s="97"/>
      <c r="E177" s="98">
        <f>E190*E7</f>
        <v>14796.288</v>
      </c>
      <c r="F177" s="98">
        <f t="shared" ref="F177:K177" si="81">F190*F7</f>
        <v>1849.5360000000001</v>
      </c>
      <c r="G177" s="98">
        <f t="shared" si="81"/>
        <v>12946.752</v>
      </c>
      <c r="H177" s="98">
        <f t="shared" si="81"/>
        <v>40689.792000000001</v>
      </c>
      <c r="I177" s="98">
        <f t="shared" si="81"/>
        <v>0</v>
      </c>
      <c r="J177" s="98">
        <f t="shared" si="81"/>
        <v>11097.216</v>
      </c>
      <c r="K177" s="98">
        <f t="shared" si="81"/>
        <v>0</v>
      </c>
      <c r="L177" s="99"/>
      <c r="M177" s="100">
        <f>SUM(E177:K177)</f>
        <v>81379.584000000003</v>
      </c>
    </row>
    <row r="178" spans="1:15" x14ac:dyDescent="0.3">
      <c r="B178" s="539"/>
      <c r="C178" s="101" t="s">
        <v>102</v>
      </c>
      <c r="D178" s="102"/>
      <c r="E178" s="103">
        <f>D179*D180</f>
        <v>1279.5360000000001</v>
      </c>
      <c r="F178" s="103">
        <f t="shared" ref="F178:K178" si="82">E178</f>
        <v>1279.5360000000001</v>
      </c>
      <c r="G178" s="103">
        <f t="shared" si="82"/>
        <v>1279.5360000000001</v>
      </c>
      <c r="H178" s="103">
        <f t="shared" si="82"/>
        <v>1279.5360000000001</v>
      </c>
      <c r="I178" s="103">
        <f t="shared" si="82"/>
        <v>1279.5360000000001</v>
      </c>
      <c r="J178" s="103">
        <f t="shared" si="82"/>
        <v>1279.5360000000001</v>
      </c>
      <c r="K178" s="103">
        <f t="shared" si="82"/>
        <v>1279.5360000000001</v>
      </c>
      <c r="L178" s="99"/>
      <c r="M178" s="104"/>
    </row>
    <row r="179" spans="1:15" x14ac:dyDescent="0.3">
      <c r="B179" s="539"/>
      <c r="C179" s="105" t="s">
        <v>114</v>
      </c>
      <c r="D179" s="106">
        <f>Tabelas_Coeficientes!B17</f>
        <v>2.2448000000000001</v>
      </c>
      <c r="E179" s="103"/>
      <c r="F179" s="103"/>
      <c r="G179" s="103"/>
      <c r="H179" s="103"/>
      <c r="I179" s="103"/>
      <c r="J179" s="103"/>
      <c r="K179" s="103"/>
      <c r="L179" s="99"/>
      <c r="M179" s="104"/>
    </row>
    <row r="180" spans="1:15" x14ac:dyDescent="0.3">
      <c r="B180" s="539"/>
      <c r="C180" s="105" t="s">
        <v>113</v>
      </c>
      <c r="D180" s="425">
        <f>Tabelas_Prc_Insumos!D18</f>
        <v>570</v>
      </c>
      <c r="E180" s="103"/>
      <c r="F180" s="103"/>
      <c r="G180" s="103"/>
      <c r="H180" s="103"/>
      <c r="I180" s="103"/>
      <c r="J180" s="103"/>
      <c r="K180" s="103"/>
      <c r="L180" s="99"/>
      <c r="M180" s="104"/>
      <c r="N180" s="426" t="s">
        <v>389</v>
      </c>
    </row>
    <row r="181" spans="1:15" x14ac:dyDescent="0.3">
      <c r="B181" s="539"/>
      <c r="C181" s="101" t="s">
        <v>108</v>
      </c>
      <c r="D181" s="107"/>
      <c r="E181" s="103">
        <f>D182*D183</f>
        <v>0</v>
      </c>
      <c r="F181" s="103">
        <f t="shared" ref="F181:K181" si="83">E181</f>
        <v>0</v>
      </c>
      <c r="G181" s="103">
        <f t="shared" si="83"/>
        <v>0</v>
      </c>
      <c r="H181" s="103">
        <f t="shared" si="83"/>
        <v>0</v>
      </c>
      <c r="I181" s="103">
        <f t="shared" si="83"/>
        <v>0</v>
      </c>
      <c r="J181" s="103">
        <f t="shared" si="83"/>
        <v>0</v>
      </c>
      <c r="K181" s="103">
        <f t="shared" si="83"/>
        <v>0</v>
      </c>
      <c r="L181" s="99"/>
      <c r="M181" s="104"/>
    </row>
    <row r="182" spans="1:15" x14ac:dyDescent="0.3">
      <c r="B182" s="539"/>
      <c r="C182" s="105" t="s">
        <v>114</v>
      </c>
      <c r="D182" s="106">
        <f>Tabelas_Coeficientes!B18</f>
        <v>0</v>
      </c>
      <c r="E182" s="108"/>
      <c r="F182" s="108"/>
      <c r="G182" s="108"/>
      <c r="H182" s="108"/>
      <c r="I182" s="108"/>
      <c r="J182" s="108"/>
      <c r="K182" s="108"/>
      <c r="L182" s="99"/>
      <c r="M182" s="104"/>
    </row>
    <row r="183" spans="1:15" x14ac:dyDescent="0.3">
      <c r="B183" s="539"/>
      <c r="C183" s="105" t="s">
        <v>113</v>
      </c>
      <c r="D183" s="106">
        <f>Tabelas_Prc_Insumos!D19</f>
        <v>570</v>
      </c>
      <c r="E183" s="108"/>
      <c r="F183" s="108"/>
      <c r="G183" s="108"/>
      <c r="H183" s="108"/>
      <c r="I183" s="108"/>
      <c r="J183" s="108"/>
      <c r="K183" s="108"/>
      <c r="L183" s="99"/>
      <c r="M183" s="104"/>
    </row>
    <row r="184" spans="1:15" x14ac:dyDescent="0.3">
      <c r="B184" s="539"/>
      <c r="C184" s="101" t="s">
        <v>109</v>
      </c>
      <c r="D184" s="106"/>
      <c r="E184" s="103">
        <f>D185*D186</f>
        <v>285</v>
      </c>
      <c r="F184" s="103">
        <f t="shared" ref="F184:K184" si="84">E184</f>
        <v>285</v>
      </c>
      <c r="G184" s="103">
        <f t="shared" si="84"/>
        <v>285</v>
      </c>
      <c r="H184" s="103">
        <f t="shared" si="84"/>
        <v>285</v>
      </c>
      <c r="I184" s="103">
        <f t="shared" si="84"/>
        <v>285</v>
      </c>
      <c r="J184" s="103">
        <f t="shared" si="84"/>
        <v>285</v>
      </c>
      <c r="K184" s="103">
        <f t="shared" si="84"/>
        <v>285</v>
      </c>
      <c r="L184" s="99"/>
      <c r="M184" s="104"/>
    </row>
    <row r="185" spans="1:15" x14ac:dyDescent="0.3">
      <c r="B185" s="539"/>
      <c r="C185" s="105" t="s">
        <v>114</v>
      </c>
      <c r="D185" s="106">
        <f>Tabelas_Coeficientes!B16</f>
        <v>0.5</v>
      </c>
      <c r="E185" s="108"/>
      <c r="F185" s="108"/>
      <c r="G185" s="108"/>
      <c r="H185" s="108"/>
      <c r="I185" s="108"/>
      <c r="J185" s="108"/>
      <c r="K185" s="108"/>
      <c r="L185" s="99"/>
      <c r="M185" s="104"/>
    </row>
    <row r="186" spans="1:15" x14ac:dyDescent="0.3">
      <c r="B186" s="539"/>
      <c r="C186" s="105" t="s">
        <v>113</v>
      </c>
      <c r="D186" s="106">
        <f>Tabelas_Prc_Insumos!D20</f>
        <v>570</v>
      </c>
      <c r="E186" s="108"/>
      <c r="F186" s="108"/>
      <c r="G186" s="108"/>
      <c r="H186" s="108"/>
      <c r="I186" s="108"/>
      <c r="J186" s="108"/>
      <c r="K186" s="108"/>
      <c r="L186" s="99"/>
      <c r="M186" s="104"/>
    </row>
    <row r="187" spans="1:15" x14ac:dyDescent="0.3">
      <c r="B187" s="539"/>
      <c r="C187" s="101" t="s">
        <v>110</v>
      </c>
      <c r="D187" s="106"/>
      <c r="E187" s="103">
        <f>D188*D189</f>
        <v>285</v>
      </c>
      <c r="F187" s="103">
        <f t="shared" ref="F187:K187" si="85">E187</f>
        <v>285</v>
      </c>
      <c r="G187" s="103">
        <f t="shared" si="85"/>
        <v>285</v>
      </c>
      <c r="H187" s="103">
        <f t="shared" si="85"/>
        <v>285</v>
      </c>
      <c r="I187" s="103">
        <f t="shared" si="85"/>
        <v>285</v>
      </c>
      <c r="J187" s="103">
        <f t="shared" si="85"/>
        <v>285</v>
      </c>
      <c r="K187" s="103">
        <f t="shared" si="85"/>
        <v>285</v>
      </c>
      <c r="L187" s="99"/>
      <c r="M187" s="104"/>
    </row>
    <row r="188" spans="1:15" x14ac:dyDescent="0.3">
      <c r="B188" s="539"/>
      <c r="C188" s="105" t="s">
        <v>114</v>
      </c>
      <c r="D188" s="106">
        <f>Tabelas_Coeficientes!B19</f>
        <v>0.5</v>
      </c>
      <c r="E188" s="108"/>
      <c r="F188" s="108"/>
      <c r="G188" s="108"/>
      <c r="H188" s="108"/>
      <c r="I188" s="108"/>
      <c r="J188" s="108"/>
      <c r="K188" s="108"/>
      <c r="L188" s="99"/>
      <c r="M188" s="104"/>
    </row>
    <row r="189" spans="1:15" x14ac:dyDescent="0.3">
      <c r="B189" s="539"/>
      <c r="C189" s="105" t="s">
        <v>113</v>
      </c>
      <c r="D189" s="106">
        <f>D186</f>
        <v>570</v>
      </c>
      <c r="E189" s="108"/>
      <c r="F189" s="108"/>
      <c r="G189" s="108"/>
      <c r="H189" s="108"/>
      <c r="I189" s="108"/>
      <c r="J189" s="108"/>
      <c r="K189" s="108"/>
      <c r="L189" s="99"/>
      <c r="M189" s="104"/>
    </row>
    <row r="190" spans="1:15" x14ac:dyDescent="0.3">
      <c r="B190" s="539"/>
      <c r="C190" s="78" t="s">
        <v>59</v>
      </c>
      <c r="E190" s="95">
        <f>SUM(E178:E189)</f>
        <v>1849.5360000000001</v>
      </c>
      <c r="F190" s="95">
        <f t="shared" ref="F190:K190" si="86">SUM(F178:F189)</f>
        <v>1849.5360000000001</v>
      </c>
      <c r="G190" s="95">
        <f t="shared" si="86"/>
        <v>1849.5360000000001</v>
      </c>
      <c r="H190" s="95">
        <f t="shared" si="86"/>
        <v>1849.5360000000001</v>
      </c>
      <c r="I190" s="95">
        <f t="shared" si="86"/>
        <v>1849.5360000000001</v>
      </c>
      <c r="J190" s="95">
        <f t="shared" si="86"/>
        <v>1849.5360000000001</v>
      </c>
      <c r="K190" s="95">
        <f t="shared" si="86"/>
        <v>1849.5360000000001</v>
      </c>
      <c r="L190" s="109"/>
      <c r="M190" s="110"/>
    </row>
    <row r="191" spans="1:15" x14ac:dyDescent="0.3">
      <c r="B191" s="539"/>
      <c r="C191" s="78"/>
      <c r="E191" s="95"/>
      <c r="F191" s="95"/>
      <c r="G191" s="95"/>
      <c r="H191" s="95"/>
      <c r="I191" s="95"/>
      <c r="J191" s="95"/>
      <c r="K191" s="95"/>
      <c r="L191" s="109"/>
      <c r="M191" s="110"/>
    </row>
    <row r="192" spans="1:15" x14ac:dyDescent="0.3">
      <c r="A192" t="s">
        <v>115</v>
      </c>
      <c r="B192" s="539"/>
      <c r="C192" s="81" t="s">
        <v>116</v>
      </c>
      <c r="E192" s="82">
        <f>E177+E175</f>
        <v>145452.97453021476</v>
      </c>
      <c r="F192" s="82">
        <f t="shared" ref="F192:K192" si="87">F177+F175</f>
        <v>18181.621816276845</v>
      </c>
      <c r="G192" s="82">
        <f t="shared" si="87"/>
        <v>127271.35271393793</v>
      </c>
      <c r="H192" s="82">
        <f t="shared" si="87"/>
        <v>399995.67995809059</v>
      </c>
      <c r="I192" s="82">
        <f t="shared" si="87"/>
        <v>0</v>
      </c>
      <c r="J192" s="82">
        <f t="shared" si="87"/>
        <v>109089.73089766108</v>
      </c>
      <c r="K192" s="82">
        <f t="shared" si="87"/>
        <v>0</v>
      </c>
      <c r="L192" s="109"/>
      <c r="M192" s="83">
        <f>SUM(E192:K192)</f>
        <v>799991.35991618119</v>
      </c>
      <c r="N192" s="4">
        <v>632779.32999999996</v>
      </c>
      <c r="O192" s="335">
        <f>N192-M192</f>
        <v>-167212.02991618123</v>
      </c>
    </row>
    <row r="193" spans="1:15" x14ac:dyDescent="0.3">
      <c r="B193" s="539"/>
      <c r="C193" s="101"/>
      <c r="D193" s="111"/>
      <c r="E193" s="112"/>
      <c r="F193" s="112"/>
      <c r="G193" s="112"/>
      <c r="H193" s="112"/>
      <c r="I193" s="112"/>
      <c r="J193" s="112"/>
      <c r="K193" s="112"/>
      <c r="L193" s="109"/>
      <c r="M193" s="363"/>
    </row>
    <row r="194" spans="1:15" x14ac:dyDescent="0.3">
      <c r="A194" t="s">
        <v>117</v>
      </c>
      <c r="B194" s="539"/>
      <c r="C194" s="28" t="s">
        <v>118</v>
      </c>
      <c r="D194" s="29"/>
      <c r="E194" s="30">
        <f>$D195*E192</f>
        <v>65453.838538596647</v>
      </c>
      <c r="F194" s="30">
        <f t="shared" ref="F194:K194" si="88">$D195*F192</f>
        <v>8181.7298173245808</v>
      </c>
      <c r="G194" s="30">
        <f t="shared" si="88"/>
        <v>57272.108721272067</v>
      </c>
      <c r="H194" s="30">
        <f t="shared" si="88"/>
        <v>179998.05598114076</v>
      </c>
      <c r="I194" s="30">
        <f t="shared" si="88"/>
        <v>0</v>
      </c>
      <c r="J194" s="30">
        <f>$D195*J192</f>
        <v>49090.378903947487</v>
      </c>
      <c r="K194" s="30">
        <f t="shared" si="88"/>
        <v>0</v>
      </c>
      <c r="L194" s="45"/>
      <c r="M194" s="100">
        <f>SUM(E194:K194)</f>
        <v>359996.11196228157</v>
      </c>
      <c r="N194" s="4">
        <v>284750.7</v>
      </c>
      <c r="O194" s="335">
        <f>N194-M194</f>
        <v>-75245.411962281563</v>
      </c>
    </row>
    <row r="195" spans="1:15" x14ac:dyDescent="0.3">
      <c r="B195" s="539"/>
      <c r="C195" s="33" t="s">
        <v>7</v>
      </c>
      <c r="D195" s="113">
        <f>Tabelas_Coeficientes!B20</f>
        <v>0.45</v>
      </c>
      <c r="E195" s="113"/>
      <c r="F195" s="113"/>
      <c r="G195" s="113"/>
      <c r="H195" s="113"/>
      <c r="I195" s="113"/>
      <c r="J195" s="113"/>
      <c r="K195" s="113"/>
      <c r="L195" s="34"/>
      <c r="M195" s="114"/>
    </row>
    <row r="196" spans="1:15" x14ac:dyDescent="0.3">
      <c r="B196" s="539"/>
      <c r="C196" s="78" t="s">
        <v>59</v>
      </c>
      <c r="D196" s="113"/>
      <c r="E196" s="95">
        <f>IFERROR(E194/E7,0)</f>
        <v>8181.7298173245808</v>
      </c>
      <c r="F196" s="95">
        <f t="shared" ref="F196:K196" si="89">IFERROR(F194/F7,0)</f>
        <v>8181.7298173245808</v>
      </c>
      <c r="G196" s="95">
        <f t="shared" si="89"/>
        <v>8181.7298173245808</v>
      </c>
      <c r="H196" s="95">
        <f t="shared" si="89"/>
        <v>8181.7298173245799</v>
      </c>
      <c r="I196" s="95">
        <f t="shared" si="89"/>
        <v>0</v>
      </c>
      <c r="J196" s="95">
        <f t="shared" si="89"/>
        <v>8181.7298173245808</v>
      </c>
      <c r="K196" s="95">
        <f t="shared" si="89"/>
        <v>0</v>
      </c>
      <c r="L196" s="34"/>
      <c r="M196" s="114"/>
    </row>
    <row r="197" spans="1:15" x14ac:dyDescent="0.3">
      <c r="B197" s="539"/>
      <c r="C197" s="33"/>
      <c r="D197" s="113"/>
      <c r="E197" s="113"/>
      <c r="F197" s="113"/>
      <c r="G197" s="113"/>
      <c r="H197" s="113"/>
      <c r="I197" s="113"/>
      <c r="J197" s="113"/>
      <c r="K197" s="113"/>
      <c r="L197" s="34"/>
      <c r="M197" s="114"/>
    </row>
    <row r="198" spans="1:15" x14ac:dyDescent="0.3">
      <c r="B198" s="540"/>
      <c r="C198" s="89" t="s">
        <v>119</v>
      </c>
      <c r="D198" s="29"/>
      <c r="E198" s="115"/>
      <c r="F198" s="115"/>
      <c r="G198" s="115"/>
      <c r="H198" s="115"/>
      <c r="I198" s="115"/>
      <c r="J198" s="115"/>
      <c r="K198" s="115"/>
      <c r="L198" s="116"/>
      <c r="M198" s="90">
        <f>M194+M192</f>
        <v>1159987.4718784627</v>
      </c>
      <c r="N198" s="441">
        <f>N192+N194</f>
        <v>917530.03</v>
      </c>
      <c r="O198" s="335">
        <f>N198-M198</f>
        <v>-242457.44187846268</v>
      </c>
    </row>
    <row r="200" spans="1:15" x14ac:dyDescent="0.3">
      <c r="B200" s="538" t="s">
        <v>120</v>
      </c>
      <c r="C200" s="5"/>
      <c r="D200" s="6"/>
      <c r="E200" s="5"/>
      <c r="F200" s="5"/>
      <c r="G200" s="5"/>
      <c r="H200" s="5"/>
      <c r="I200" s="5"/>
      <c r="J200" s="5"/>
      <c r="K200" s="5"/>
      <c r="L200" s="5"/>
      <c r="M200" s="8"/>
    </row>
    <row r="201" spans="1:15" x14ac:dyDescent="0.3">
      <c r="A201" t="s">
        <v>121</v>
      </c>
      <c r="B201" s="539"/>
      <c r="C201" s="28" t="s">
        <v>122</v>
      </c>
      <c r="D201" s="29"/>
      <c r="E201" s="67">
        <f>$M$201*E6/$M$6</f>
        <v>14538.022108843537</v>
      </c>
      <c r="F201" s="67">
        <f>$M$201*F6/$M$6</f>
        <v>1453.8022108843538</v>
      </c>
      <c r="G201" s="67">
        <f>$M$201*G6/$M$6</f>
        <v>15991.824319727892</v>
      </c>
      <c r="H201" s="67">
        <f>$M$201*H6/$M$6</f>
        <v>31983.648639455783</v>
      </c>
      <c r="I201" s="67">
        <f>$M$201*I6/$M$6</f>
        <v>0</v>
      </c>
      <c r="J201" s="67">
        <f>J204*J6</f>
        <v>0</v>
      </c>
      <c r="K201" s="67">
        <f>$M$201*K1</f>
        <v>0</v>
      </c>
      <c r="L201" s="31"/>
      <c r="M201" s="68">
        <f>D202/12</f>
        <v>71236.308333333334</v>
      </c>
      <c r="N201" s="4">
        <v>71236.31</v>
      </c>
      <c r="O201" s="335">
        <f>N201-M201</f>
        <v>1.6666666633682325E-3</v>
      </c>
    </row>
    <row r="202" spans="1:15" x14ac:dyDescent="0.3">
      <c r="B202" s="539"/>
      <c r="C202" s="33" t="s">
        <v>391</v>
      </c>
      <c r="D202" s="106">
        <v>854835.7</v>
      </c>
      <c r="E202" s="39"/>
      <c r="F202" s="39"/>
      <c r="G202" s="39"/>
      <c r="H202" s="39"/>
      <c r="I202" s="39"/>
      <c r="J202" s="39"/>
      <c r="K202" s="39"/>
      <c r="L202" s="34"/>
      <c r="M202" s="53"/>
    </row>
    <row r="203" spans="1:15" x14ac:dyDescent="0.3">
      <c r="B203" s="539"/>
      <c r="C203" s="33"/>
      <c r="D203" s="388"/>
      <c r="E203" s="39"/>
      <c r="F203" s="39"/>
      <c r="G203" s="39"/>
      <c r="H203" s="39"/>
      <c r="I203" s="39"/>
      <c r="J203" s="39"/>
      <c r="K203" s="39"/>
      <c r="L203" s="34"/>
      <c r="M203" s="53"/>
      <c r="N203" s="426" t="s">
        <v>390</v>
      </c>
    </row>
    <row r="204" spans="1:15" x14ac:dyDescent="0.3">
      <c r="B204" s="539"/>
      <c r="C204" s="78" t="s">
        <v>59</v>
      </c>
      <c r="D204" s="34"/>
      <c r="E204" s="39">
        <f>E201/E6</f>
        <v>1453.8022108843538</v>
      </c>
      <c r="F204" s="39">
        <f>F201/F6</f>
        <v>1453.8022108843538</v>
      </c>
      <c r="G204" s="39">
        <f>G201/G6</f>
        <v>1453.8022108843538</v>
      </c>
      <c r="H204" s="39">
        <f>H201/H6</f>
        <v>1453.8022108843538</v>
      </c>
      <c r="I204" s="39" t="e">
        <f>I201/I6</f>
        <v>#DIV/0!</v>
      </c>
      <c r="J204" s="39">
        <f>$D$203*$D$202/12</f>
        <v>0</v>
      </c>
      <c r="K204" s="39">
        <f>$D$203/12</f>
        <v>0</v>
      </c>
      <c r="L204" s="34"/>
      <c r="M204" s="53"/>
    </row>
    <row r="205" spans="1:15" x14ac:dyDescent="0.3">
      <c r="B205" s="539"/>
      <c r="C205" s="34"/>
      <c r="D205" s="34"/>
      <c r="E205" s="65"/>
      <c r="F205" s="65"/>
      <c r="G205" s="65"/>
      <c r="H205" s="65"/>
      <c r="I205" s="65"/>
      <c r="J205" s="65"/>
      <c r="K205" s="65"/>
      <c r="L205" s="34"/>
      <c r="M205" s="53"/>
    </row>
    <row r="206" spans="1:15" x14ac:dyDescent="0.3">
      <c r="A206" t="s">
        <v>123</v>
      </c>
      <c r="B206" s="539"/>
      <c r="C206" s="28" t="s">
        <v>124</v>
      </c>
      <c r="D206" s="29"/>
      <c r="E206" s="30">
        <f>E209*E210</f>
        <v>75.783333333333331</v>
      </c>
      <c r="F206" s="30">
        <f t="shared" ref="F206:K206" si="90">F209*F210</f>
        <v>7.5783333333333331</v>
      </c>
      <c r="G206" s="30">
        <f t="shared" si="90"/>
        <v>83.361666666666665</v>
      </c>
      <c r="H206" s="30">
        <f t="shared" si="90"/>
        <v>166.72333333333333</v>
      </c>
      <c r="I206" s="30">
        <f t="shared" si="90"/>
        <v>0</v>
      </c>
      <c r="J206" s="30">
        <f t="shared" si="90"/>
        <v>37.891666666666666</v>
      </c>
      <c r="K206" s="30">
        <f t="shared" si="90"/>
        <v>0</v>
      </c>
      <c r="L206" s="45"/>
      <c r="M206" s="32">
        <f>SUM(E206:L206)</f>
        <v>371.33833333333331</v>
      </c>
      <c r="N206">
        <v>371.34</v>
      </c>
      <c r="O206" s="335">
        <f>N206-M206</f>
        <v>1.6666666666651508E-3</v>
      </c>
    </row>
    <row r="207" spans="1:15" x14ac:dyDescent="0.3">
      <c r="B207" s="539"/>
      <c r="C207" s="33" t="s">
        <v>125</v>
      </c>
      <c r="D207" s="106">
        <f>Tabelas_Prc_Insumos!D24</f>
        <v>0</v>
      </c>
      <c r="L207" s="117"/>
      <c r="M207" s="118"/>
    </row>
    <row r="208" spans="1:15" x14ac:dyDescent="0.3">
      <c r="B208" s="539"/>
      <c r="C208" s="33" t="s">
        <v>126</v>
      </c>
      <c r="D208" s="106">
        <f>Tabelas_Prc_Insumos!D26</f>
        <v>90.94</v>
      </c>
      <c r="L208" s="117"/>
      <c r="M208" s="118"/>
    </row>
    <row r="209" spans="1:15" x14ac:dyDescent="0.3">
      <c r="B209" s="539"/>
      <c r="C209" s="78" t="s">
        <v>59</v>
      </c>
      <c r="E209" s="39">
        <f>($D207+$D208)/12</f>
        <v>7.5783333333333331</v>
      </c>
      <c r="F209" s="39">
        <f t="shared" ref="F209:K209" si="91">($D207+$D208)/12</f>
        <v>7.5783333333333331</v>
      </c>
      <c r="G209" s="39">
        <f t="shared" si="91"/>
        <v>7.5783333333333331</v>
      </c>
      <c r="H209" s="39">
        <f t="shared" si="91"/>
        <v>7.5783333333333331</v>
      </c>
      <c r="I209" s="39">
        <f t="shared" si="91"/>
        <v>7.5783333333333331</v>
      </c>
      <c r="J209" s="39">
        <f t="shared" si="91"/>
        <v>7.5783333333333331</v>
      </c>
      <c r="K209" s="39">
        <f t="shared" si="91"/>
        <v>7.5783333333333331</v>
      </c>
      <c r="L209" s="117"/>
      <c r="M209" s="118"/>
    </row>
    <row r="210" spans="1:15" x14ac:dyDescent="0.3">
      <c r="B210" s="539"/>
      <c r="C210" s="33" t="s">
        <v>9</v>
      </c>
      <c r="E210" s="72">
        <f t="shared" ref="E210:K210" si="92">E$6</f>
        <v>10</v>
      </c>
      <c r="F210" s="72">
        <f t="shared" si="92"/>
        <v>1</v>
      </c>
      <c r="G210" s="72">
        <f t="shared" si="92"/>
        <v>11</v>
      </c>
      <c r="H210" s="72">
        <f t="shared" si="92"/>
        <v>22</v>
      </c>
      <c r="I210" s="72">
        <f t="shared" si="92"/>
        <v>0</v>
      </c>
      <c r="J210" s="72">
        <f t="shared" si="92"/>
        <v>5</v>
      </c>
      <c r="K210" s="72">
        <f t="shared" si="92"/>
        <v>0</v>
      </c>
      <c r="M210" s="43"/>
      <c r="N210" s="426" t="s">
        <v>393</v>
      </c>
    </row>
    <row r="211" spans="1:15" x14ac:dyDescent="0.3">
      <c r="B211" s="539"/>
      <c r="C211" s="33"/>
      <c r="E211" s="117"/>
      <c r="F211" s="117"/>
      <c r="G211" s="117"/>
      <c r="H211" s="117"/>
      <c r="I211" s="117"/>
      <c r="J211" s="117"/>
      <c r="K211" s="117"/>
      <c r="L211" s="117"/>
      <c r="M211" s="118"/>
    </row>
    <row r="212" spans="1:15" x14ac:dyDescent="0.3">
      <c r="A212" t="s">
        <v>127</v>
      </c>
      <c r="B212" s="539"/>
      <c r="C212" s="28" t="s">
        <v>128</v>
      </c>
      <c r="D212" s="29"/>
      <c r="E212" s="30">
        <f>$M212*E$1</f>
        <v>0</v>
      </c>
      <c r="F212" s="30">
        <f t="shared" ref="F212:K212" si="93">$M212*F$1</f>
        <v>0</v>
      </c>
      <c r="G212" s="30">
        <f t="shared" si="93"/>
        <v>0</v>
      </c>
      <c r="H212" s="30">
        <f t="shared" si="93"/>
        <v>0</v>
      </c>
      <c r="I212" s="30">
        <f t="shared" si="93"/>
        <v>0</v>
      </c>
      <c r="J212" s="30">
        <f t="shared" si="93"/>
        <v>0</v>
      </c>
      <c r="K212" s="30">
        <f t="shared" si="93"/>
        <v>0</v>
      </c>
      <c r="L212" s="45"/>
      <c r="M212" s="32">
        <f>D213/12</f>
        <v>0</v>
      </c>
      <c r="N212" s="335">
        <f>M212-0</f>
        <v>0</v>
      </c>
    </row>
    <row r="213" spans="1:15" x14ac:dyDescent="0.3">
      <c r="B213" s="539"/>
      <c r="C213" s="33" t="s">
        <v>129</v>
      </c>
      <c r="D213" s="106">
        <f>Tabelas_Prc_Insumos!D23</f>
        <v>0</v>
      </c>
      <c r="L213" s="117"/>
      <c r="M213" s="118"/>
    </row>
    <row r="214" spans="1:15" x14ac:dyDescent="0.3">
      <c r="B214" s="539"/>
      <c r="C214" s="78" t="s">
        <v>59</v>
      </c>
      <c r="E214" s="39">
        <f>IFERROR(E212/E210,0)</f>
        <v>0</v>
      </c>
      <c r="F214" s="39">
        <f t="shared" ref="F214:K214" si="94">IFERROR(F212/F210,0)</f>
        <v>0</v>
      </c>
      <c r="G214" s="39">
        <f t="shared" si="94"/>
        <v>0</v>
      </c>
      <c r="H214" s="39">
        <f t="shared" si="94"/>
        <v>0</v>
      </c>
      <c r="I214" s="39">
        <f t="shared" si="94"/>
        <v>0</v>
      </c>
      <c r="J214" s="39">
        <f t="shared" si="94"/>
        <v>0</v>
      </c>
      <c r="K214" s="39">
        <f t="shared" si="94"/>
        <v>0</v>
      </c>
      <c r="L214" s="117"/>
      <c r="M214" s="118"/>
    </row>
    <row r="215" spans="1:15" x14ac:dyDescent="0.3">
      <c r="B215" s="539"/>
      <c r="C215" s="33"/>
      <c r="E215" s="72"/>
      <c r="F215" s="72"/>
      <c r="G215" s="72"/>
      <c r="H215" s="72"/>
      <c r="I215" s="72"/>
      <c r="J215" s="72"/>
      <c r="K215" s="72"/>
      <c r="M215" s="43"/>
    </row>
    <row r="216" spans="1:15" x14ac:dyDescent="0.3">
      <c r="A216" t="s">
        <v>130</v>
      </c>
      <c r="B216" s="539"/>
      <c r="C216" s="28" t="s">
        <v>130</v>
      </c>
      <c r="D216" s="29"/>
      <c r="E216" s="30">
        <f>$M216*E$1</f>
        <v>0</v>
      </c>
      <c r="F216" s="30">
        <f t="shared" ref="F216:K216" si="95">$M216*F$1</f>
        <v>0</v>
      </c>
      <c r="G216" s="30">
        <f t="shared" si="95"/>
        <v>0</v>
      </c>
      <c r="H216" s="30">
        <f t="shared" si="95"/>
        <v>0</v>
      </c>
      <c r="I216" s="30">
        <f t="shared" si="95"/>
        <v>0</v>
      </c>
      <c r="J216" s="30">
        <f t="shared" si="95"/>
        <v>0</v>
      </c>
      <c r="K216" s="30">
        <f t="shared" si="95"/>
        <v>0</v>
      </c>
      <c r="L216" s="45"/>
      <c r="M216" s="32">
        <f>D217/12</f>
        <v>0</v>
      </c>
      <c r="N216" s="335">
        <f>M216-0</f>
        <v>0</v>
      </c>
    </row>
    <row r="217" spans="1:15" x14ac:dyDescent="0.3">
      <c r="B217" s="539"/>
      <c r="C217" s="33" t="s">
        <v>129</v>
      </c>
      <c r="D217" s="106">
        <f>Tabelas_Prc_Insumos!D25</f>
        <v>0</v>
      </c>
      <c r="L217" s="117"/>
      <c r="M217" s="118"/>
    </row>
    <row r="218" spans="1:15" x14ac:dyDescent="0.3">
      <c r="B218" s="539"/>
      <c r="C218" s="78" t="s">
        <v>59</v>
      </c>
      <c r="E218" s="39">
        <f>IFERROR(E216/E$210,0)</f>
        <v>0</v>
      </c>
      <c r="F218" s="39">
        <f t="shared" ref="F218:K218" si="96">IFERROR(F216/F$210,0)</f>
        <v>0</v>
      </c>
      <c r="G218" s="39">
        <f t="shared" si="96"/>
        <v>0</v>
      </c>
      <c r="H218" s="39">
        <f t="shared" si="96"/>
        <v>0</v>
      </c>
      <c r="I218" s="39">
        <f t="shared" si="96"/>
        <v>0</v>
      </c>
      <c r="J218" s="39">
        <f t="shared" si="96"/>
        <v>0</v>
      </c>
      <c r="K218" s="39">
        <f t="shared" si="96"/>
        <v>0</v>
      </c>
      <c r="L218" s="117"/>
      <c r="M218" s="118"/>
    </row>
    <row r="219" spans="1:15" x14ac:dyDescent="0.3">
      <c r="B219" s="539"/>
      <c r="C219" s="33"/>
      <c r="E219" s="72"/>
      <c r="F219" s="72"/>
      <c r="G219" s="72"/>
      <c r="H219" s="72"/>
      <c r="I219" s="72"/>
      <c r="J219" s="72"/>
      <c r="K219" s="72"/>
      <c r="M219" s="43"/>
    </row>
    <row r="220" spans="1:15" x14ac:dyDescent="0.3">
      <c r="A220" t="s">
        <v>131</v>
      </c>
      <c r="B220" s="539"/>
      <c r="C220" s="28" t="s">
        <v>132</v>
      </c>
      <c r="D220" s="29"/>
      <c r="E220" s="30">
        <f>$M220*E$1</f>
        <v>89.183673469387756</v>
      </c>
      <c r="F220" s="30">
        <f t="shared" ref="F220:K220" si="97">$M220*F$1</f>
        <v>8.9183673469387745</v>
      </c>
      <c r="G220" s="30">
        <f t="shared" si="97"/>
        <v>98.102040816326536</v>
      </c>
      <c r="H220" s="30">
        <f t="shared" si="97"/>
        <v>196.20408163265307</v>
      </c>
      <c r="I220" s="30">
        <f t="shared" si="97"/>
        <v>0</v>
      </c>
      <c r="J220" s="30">
        <f t="shared" si="97"/>
        <v>44.591836734693878</v>
      </c>
      <c r="K220" s="30">
        <f t="shared" si="97"/>
        <v>0</v>
      </c>
      <c r="L220" s="45"/>
      <c r="M220" s="32">
        <f>D221</f>
        <v>437</v>
      </c>
      <c r="N220" s="335">
        <v>437</v>
      </c>
      <c r="O220" s="335">
        <f>N220-M220</f>
        <v>0</v>
      </c>
    </row>
    <row r="221" spans="1:15" x14ac:dyDescent="0.3">
      <c r="B221" s="539"/>
      <c r="C221" s="33" t="s">
        <v>129</v>
      </c>
      <c r="D221" s="106">
        <f>Tabelas_Prc_Insumos!D27</f>
        <v>437</v>
      </c>
      <c r="L221" s="117"/>
      <c r="M221" s="118"/>
    </row>
    <row r="222" spans="1:15" x14ac:dyDescent="0.3">
      <c r="B222" s="539"/>
      <c r="C222" s="78" t="s">
        <v>59</v>
      </c>
      <c r="E222" s="39">
        <f>IFERROR(E220/E$210,0)</f>
        <v>8.9183673469387763</v>
      </c>
      <c r="F222" s="39">
        <f t="shared" ref="F222:K222" si="98">IFERROR(F220/F$210,0)</f>
        <v>8.9183673469387745</v>
      </c>
      <c r="G222" s="39">
        <f t="shared" si="98"/>
        <v>8.9183673469387763</v>
      </c>
      <c r="H222" s="39">
        <f t="shared" si="98"/>
        <v>8.9183673469387763</v>
      </c>
      <c r="I222" s="39">
        <f t="shared" si="98"/>
        <v>0</v>
      </c>
      <c r="J222" s="39">
        <f t="shared" si="98"/>
        <v>8.9183673469387763</v>
      </c>
      <c r="K222" s="39">
        <f t="shared" si="98"/>
        <v>0</v>
      </c>
      <c r="L222" s="117"/>
      <c r="M222" s="118"/>
    </row>
    <row r="223" spans="1:15" x14ac:dyDescent="0.3">
      <c r="B223" s="539"/>
      <c r="C223" s="33"/>
      <c r="E223" s="72"/>
      <c r="F223" s="72"/>
      <c r="G223" s="72"/>
      <c r="H223" s="72"/>
      <c r="I223" s="72"/>
      <c r="J223" s="72"/>
      <c r="K223" s="72"/>
      <c r="M223" s="43"/>
    </row>
    <row r="224" spans="1:15" x14ac:dyDescent="0.3">
      <c r="B224" s="540"/>
      <c r="C224" s="89" t="s">
        <v>133</v>
      </c>
      <c r="D224" s="29"/>
      <c r="E224" s="116">
        <f t="shared" ref="E224:K224" si="99">E201+E206</f>
        <v>14613.80544217687</v>
      </c>
      <c r="F224" s="116"/>
      <c r="G224" s="116">
        <f t="shared" si="99"/>
        <v>16075.185986394557</v>
      </c>
      <c r="H224" s="116">
        <f t="shared" si="99"/>
        <v>32150.371972789115</v>
      </c>
      <c r="I224" s="116"/>
      <c r="J224" s="116"/>
      <c r="K224" s="116">
        <f t="shared" si="99"/>
        <v>0</v>
      </c>
      <c r="L224" s="116"/>
      <c r="M224" s="90">
        <f>M201+M206+M212+M216+M220</f>
        <v>72044.646666666667</v>
      </c>
      <c r="N224" s="441">
        <f>SUM(N201:N220)</f>
        <v>72044.649999999994</v>
      </c>
      <c r="O224" s="335">
        <f>N224-M224</f>
        <v>3.3333333267364651E-3</v>
      </c>
    </row>
    <row r="225" spans="1:15" x14ac:dyDescent="0.3">
      <c r="B225" s="119"/>
      <c r="C225" s="45"/>
      <c r="D225" s="1"/>
      <c r="E225" s="120"/>
      <c r="F225" s="120"/>
      <c r="G225" s="120"/>
      <c r="H225" s="120"/>
      <c r="I225" s="120"/>
      <c r="J225" s="120"/>
      <c r="K225" s="120"/>
      <c r="L225" s="82"/>
      <c r="M225" s="121"/>
    </row>
    <row r="226" spans="1:15" ht="14.7" customHeight="1" x14ac:dyDescent="0.3">
      <c r="B226" s="538" t="s">
        <v>134</v>
      </c>
      <c r="C226" s="91"/>
      <c r="D226" s="6"/>
      <c r="E226" s="5"/>
      <c r="F226" s="5"/>
      <c r="G226" s="5"/>
      <c r="H226" s="5"/>
      <c r="I226" s="5"/>
      <c r="J226" s="5"/>
      <c r="K226" s="5"/>
      <c r="L226" s="5"/>
      <c r="M226" s="8"/>
    </row>
    <row r="227" spans="1:15" x14ac:dyDescent="0.3">
      <c r="A227" t="s">
        <v>135</v>
      </c>
      <c r="B227" s="539"/>
      <c r="C227" s="89" t="s">
        <v>136</v>
      </c>
      <c r="D227" s="29"/>
      <c r="E227" s="67">
        <f>$M227*E1</f>
        <v>8580.7749999999996</v>
      </c>
      <c r="F227" s="67">
        <f t="shared" ref="F227:K227" si="100">$M227*F1</f>
        <v>858.07749999999999</v>
      </c>
      <c r="G227" s="67">
        <f t="shared" si="100"/>
        <v>9438.8525000000009</v>
      </c>
      <c r="H227" s="67">
        <f t="shared" si="100"/>
        <v>18877.705000000002</v>
      </c>
      <c r="I227" s="67">
        <f t="shared" si="100"/>
        <v>0</v>
      </c>
      <c r="J227" s="67">
        <f t="shared" si="100"/>
        <v>4290.3874999999998</v>
      </c>
      <c r="K227" s="67">
        <f t="shared" si="100"/>
        <v>0</v>
      </c>
      <c r="L227" s="31"/>
      <c r="M227" s="32">
        <f>D228*D229/12</f>
        <v>42045.797500000001</v>
      </c>
      <c r="N227" s="4">
        <v>42045.8</v>
      </c>
      <c r="O227" s="335">
        <f>N227-M227</f>
        <v>2.5000000023283064E-3</v>
      </c>
    </row>
    <row r="228" spans="1:15" x14ac:dyDescent="0.3">
      <c r="B228" s="539"/>
      <c r="C228" s="78" t="s">
        <v>397</v>
      </c>
      <c r="D228" s="106">
        <f>Tabelas_Prc_Insumos!D40</f>
        <v>10296.93</v>
      </c>
      <c r="E228" s="39"/>
      <c r="F228" s="39"/>
      <c r="G228" s="39"/>
      <c r="H228" s="39"/>
      <c r="I228" s="39"/>
      <c r="J228" s="39"/>
      <c r="K228" s="39"/>
      <c r="L228" s="34"/>
      <c r="M228" s="53"/>
    </row>
    <row r="229" spans="1:15" x14ac:dyDescent="0.3">
      <c r="B229" s="539"/>
      <c r="C229" s="78" t="s">
        <v>137</v>
      </c>
      <c r="D229" s="252">
        <f>Tabelas_Prc_Insumos!D41</f>
        <v>49</v>
      </c>
      <c r="E229" s="120"/>
      <c r="F229" s="120"/>
      <c r="G229" s="120"/>
      <c r="H229" s="120"/>
      <c r="I229" s="120"/>
      <c r="J229" s="120"/>
      <c r="K229" s="120"/>
      <c r="L229" s="82"/>
      <c r="M229" s="118"/>
    </row>
    <row r="230" spans="1:15" x14ac:dyDescent="0.3">
      <c r="B230" s="539"/>
      <c r="C230" s="78" t="s">
        <v>59</v>
      </c>
      <c r="E230" s="39">
        <f>IFERROR(E227/E231,0)</f>
        <v>858.07749999999999</v>
      </c>
      <c r="F230" s="39">
        <f t="shared" ref="F230:K230" si="101">IFERROR(F227/F231,0)</f>
        <v>858.07749999999999</v>
      </c>
      <c r="G230" s="39">
        <f t="shared" si="101"/>
        <v>858.0775000000001</v>
      </c>
      <c r="H230" s="39">
        <f t="shared" si="101"/>
        <v>858.0775000000001</v>
      </c>
      <c r="I230" s="39">
        <f t="shared" si="101"/>
        <v>0</v>
      </c>
      <c r="J230" s="39">
        <f t="shared" si="101"/>
        <v>858.07749999999999</v>
      </c>
      <c r="K230" s="39">
        <f t="shared" si="101"/>
        <v>0</v>
      </c>
      <c r="L230" s="117"/>
      <c r="M230" s="118"/>
    </row>
    <row r="231" spans="1:15" x14ac:dyDescent="0.3">
      <c r="B231" s="539"/>
      <c r="C231" s="78" t="s">
        <v>9</v>
      </c>
      <c r="E231" s="72">
        <f>E$6</f>
        <v>10</v>
      </c>
      <c r="F231" s="72">
        <f t="shared" ref="F231:K231" si="102">F$6</f>
        <v>1</v>
      </c>
      <c r="G231" s="72">
        <f t="shared" si="102"/>
        <v>11</v>
      </c>
      <c r="H231" s="72">
        <f t="shared" si="102"/>
        <v>22</v>
      </c>
      <c r="I231" s="72">
        <f t="shared" si="102"/>
        <v>0</v>
      </c>
      <c r="J231" s="72">
        <f t="shared" si="102"/>
        <v>5</v>
      </c>
      <c r="K231" s="72">
        <f t="shared" si="102"/>
        <v>0</v>
      </c>
      <c r="M231" s="43"/>
    </row>
    <row r="232" spans="1:15" x14ac:dyDescent="0.3">
      <c r="B232" s="539"/>
      <c r="C232" s="122"/>
      <c r="D232" s="1"/>
      <c r="E232" s="120"/>
      <c r="F232" s="120"/>
      <c r="G232" s="120"/>
      <c r="H232" s="120"/>
      <c r="I232" s="120"/>
      <c r="J232" s="120"/>
      <c r="K232" s="120"/>
      <c r="L232" s="82"/>
      <c r="M232" s="83"/>
    </row>
    <row r="233" spans="1:15" x14ac:dyDescent="0.3">
      <c r="A233" t="s">
        <v>138</v>
      </c>
      <c r="B233" s="539"/>
      <c r="C233" s="89" t="s">
        <v>139</v>
      </c>
      <c r="D233" s="29"/>
      <c r="E233" s="30">
        <f>$M233*E$1</f>
        <v>12866.628571428573</v>
      </c>
      <c r="F233" s="30">
        <f t="shared" ref="F233:K233" si="103">$M233*F$1</f>
        <v>1286.6628571428571</v>
      </c>
      <c r="G233" s="30">
        <f t="shared" si="103"/>
        <v>14153.291428571429</v>
      </c>
      <c r="H233" s="30">
        <f t="shared" si="103"/>
        <v>28306.582857142857</v>
      </c>
      <c r="I233" s="30">
        <f t="shared" si="103"/>
        <v>0</v>
      </c>
      <c r="J233" s="30">
        <f t="shared" si="103"/>
        <v>6433.3142857142866</v>
      </c>
      <c r="K233" s="30">
        <f t="shared" si="103"/>
        <v>0</v>
      </c>
      <c r="L233" s="31"/>
      <c r="M233" s="32">
        <f>D234</f>
        <v>63046.48</v>
      </c>
      <c r="N233" s="335">
        <v>63046.48</v>
      </c>
      <c r="O233" s="335">
        <f>N233-M233</f>
        <v>0</v>
      </c>
    </row>
    <row r="234" spans="1:15" x14ac:dyDescent="0.3">
      <c r="B234" s="539"/>
      <c r="C234" s="78" t="s">
        <v>140</v>
      </c>
      <c r="D234" s="106">
        <f>Tabelas_Prc_Insumos!D42</f>
        <v>63046.48</v>
      </c>
      <c r="L234" s="34"/>
      <c r="M234" s="53"/>
    </row>
    <row r="235" spans="1:15" x14ac:dyDescent="0.3">
      <c r="B235" s="539"/>
      <c r="C235" s="78" t="s">
        <v>59</v>
      </c>
      <c r="E235" s="39">
        <f>IFERROR(E233/E$210,0)</f>
        <v>1286.6628571428573</v>
      </c>
      <c r="F235" s="39">
        <f t="shared" ref="F235:K235" si="104">IFERROR(F233/F$210,0)</f>
        <v>1286.6628571428571</v>
      </c>
      <c r="G235" s="39">
        <f t="shared" si="104"/>
        <v>1286.6628571428571</v>
      </c>
      <c r="H235" s="39">
        <f t="shared" si="104"/>
        <v>1286.6628571428571</v>
      </c>
      <c r="I235" s="39">
        <f t="shared" si="104"/>
        <v>0</v>
      </c>
      <c r="J235" s="39">
        <f t="shared" si="104"/>
        <v>1286.6628571428573</v>
      </c>
      <c r="K235" s="39">
        <f t="shared" si="104"/>
        <v>0</v>
      </c>
      <c r="L235" s="34"/>
      <c r="M235" s="53"/>
    </row>
    <row r="236" spans="1:15" x14ac:dyDescent="0.3">
      <c r="B236" s="539"/>
      <c r="C236" s="78"/>
      <c r="E236" s="120"/>
      <c r="F236" s="120"/>
      <c r="G236" s="120"/>
      <c r="H236" s="120"/>
      <c r="I236" s="120"/>
      <c r="J236" s="120"/>
      <c r="K236" s="120"/>
      <c r="L236" s="82"/>
      <c r="M236" s="83"/>
    </row>
    <row r="237" spans="1:15" x14ac:dyDescent="0.3">
      <c r="A237" t="s">
        <v>141</v>
      </c>
      <c r="B237" s="539"/>
      <c r="C237" s="89" t="s">
        <v>142</v>
      </c>
      <c r="D237" s="29"/>
      <c r="E237" s="30">
        <f>$M237*E$1</f>
        <v>0</v>
      </c>
      <c r="F237" s="30">
        <f t="shared" ref="F237:K237" si="105">$M237*F$1</f>
        <v>0</v>
      </c>
      <c r="G237" s="30">
        <f t="shared" si="105"/>
        <v>0</v>
      </c>
      <c r="H237" s="30">
        <f t="shared" si="105"/>
        <v>0</v>
      </c>
      <c r="I237" s="30">
        <f t="shared" si="105"/>
        <v>0</v>
      </c>
      <c r="J237" s="30">
        <f t="shared" si="105"/>
        <v>0</v>
      </c>
      <c r="K237" s="30">
        <f t="shared" si="105"/>
        <v>0</v>
      </c>
      <c r="L237" s="31"/>
      <c r="M237" s="32">
        <f>D238</f>
        <v>0</v>
      </c>
      <c r="N237" s="335">
        <f>M237-0</f>
        <v>0</v>
      </c>
      <c r="O237" s="335">
        <f>N237-M237</f>
        <v>0</v>
      </c>
    </row>
    <row r="238" spans="1:15" x14ac:dyDescent="0.3">
      <c r="B238" s="539"/>
      <c r="C238" s="78" t="s">
        <v>140</v>
      </c>
      <c r="D238" s="106">
        <f>Tabelas_Prc_Insumos!D43</f>
        <v>0</v>
      </c>
      <c r="L238" s="34"/>
      <c r="M238" s="53"/>
    </row>
    <row r="239" spans="1:15" x14ac:dyDescent="0.3">
      <c r="B239" s="539"/>
      <c r="C239" s="78" t="s">
        <v>59</v>
      </c>
      <c r="E239" s="39">
        <f>IFERROR(E237/E$210,0)</f>
        <v>0</v>
      </c>
      <c r="F239" s="39">
        <f t="shared" ref="F239:K239" si="106">IFERROR(F237/F$210,0)</f>
        <v>0</v>
      </c>
      <c r="G239" s="39">
        <f t="shared" si="106"/>
        <v>0</v>
      </c>
      <c r="H239" s="39">
        <f t="shared" si="106"/>
        <v>0</v>
      </c>
      <c r="I239" s="39">
        <f t="shared" si="106"/>
        <v>0</v>
      </c>
      <c r="J239" s="39">
        <f t="shared" si="106"/>
        <v>0</v>
      </c>
      <c r="K239" s="39">
        <f t="shared" si="106"/>
        <v>0</v>
      </c>
      <c r="L239" s="34"/>
      <c r="M239" s="53"/>
    </row>
    <row r="240" spans="1:15" x14ac:dyDescent="0.3">
      <c r="B240" s="539"/>
      <c r="C240" s="122"/>
      <c r="D240" s="1"/>
      <c r="E240" s="120"/>
      <c r="F240" s="120"/>
      <c r="G240" s="120"/>
      <c r="H240" s="120"/>
      <c r="I240" s="120"/>
      <c r="J240" s="120"/>
      <c r="K240" s="120"/>
      <c r="L240" s="82"/>
      <c r="M240" s="83"/>
    </row>
    <row r="241" spans="2:15" x14ac:dyDescent="0.3">
      <c r="B241" s="540"/>
      <c r="C241" s="89" t="s">
        <v>143</v>
      </c>
      <c r="D241" s="29"/>
      <c r="E241" s="123"/>
      <c r="F241" s="123"/>
      <c r="G241" s="123"/>
      <c r="H241" s="123"/>
      <c r="I241" s="123"/>
      <c r="J241" s="123"/>
      <c r="K241" s="123"/>
      <c r="L241" s="67"/>
      <c r="M241" s="124">
        <f>SUM(M227,M233,M237)</f>
        <v>105092.2775</v>
      </c>
      <c r="N241" s="441">
        <f>N237+N233+N227</f>
        <v>105092.28</v>
      </c>
      <c r="O241" s="335">
        <f>N241-M241</f>
        <v>2.5000000023283064E-3</v>
      </c>
    </row>
    <row r="243" spans="2:15" x14ac:dyDescent="0.3">
      <c r="B243" s="529" t="s">
        <v>144</v>
      </c>
      <c r="C243" s="91" t="s">
        <v>145</v>
      </c>
      <c r="D243" s="6"/>
      <c r="E243" s="125"/>
      <c r="F243" s="125"/>
      <c r="G243" s="5"/>
      <c r="H243" s="125"/>
      <c r="I243" s="125"/>
      <c r="J243" s="125"/>
      <c r="K243" s="125"/>
      <c r="L243" s="5"/>
      <c r="M243" s="126">
        <f>M49</f>
        <v>773966.86603722558</v>
      </c>
    </row>
    <row r="244" spans="2:15" x14ac:dyDescent="0.3">
      <c r="B244" s="530"/>
      <c r="C244" s="17" t="s">
        <v>146</v>
      </c>
      <c r="E244" s="127"/>
      <c r="F244" s="127"/>
      <c r="H244" s="127"/>
      <c r="I244" s="127"/>
      <c r="J244" s="127"/>
      <c r="K244" s="127"/>
      <c r="M244" s="128">
        <f>M198+M224+M140+M241</f>
        <v>1766751.413339176</v>
      </c>
    </row>
    <row r="245" spans="2:15" x14ac:dyDescent="0.3">
      <c r="B245" s="530"/>
      <c r="C245" s="17"/>
      <c r="E245" s="129"/>
      <c r="F245" s="129"/>
      <c r="H245" s="129"/>
      <c r="I245" s="129"/>
      <c r="J245" s="129"/>
      <c r="K245" s="129"/>
      <c r="M245" s="43"/>
    </row>
    <row r="246" spans="2:15" x14ac:dyDescent="0.3">
      <c r="B246" s="530"/>
      <c r="C246" s="17" t="s">
        <v>147</v>
      </c>
      <c r="D246" s="130">
        <f>Tabelas_Coeficientes!B48</f>
        <v>5.0200000000000002E-2</v>
      </c>
      <c r="E246" s="129"/>
      <c r="F246" s="129"/>
      <c r="H246" s="129"/>
      <c r="I246" s="129"/>
      <c r="J246" s="129"/>
      <c r="K246" s="129"/>
      <c r="M246" s="364">
        <f>SUM(M243:M244)*D246</f>
        <v>127544.05762469536</v>
      </c>
      <c r="N246" s="4">
        <v>115284.27</v>
      </c>
      <c r="O246" s="335">
        <f>N246-M246</f>
        <v>-12259.787624695353</v>
      </c>
    </row>
    <row r="247" spans="2:15" x14ac:dyDescent="0.3">
      <c r="B247" s="530"/>
      <c r="C247" s="17"/>
      <c r="E247" s="129"/>
      <c r="F247" s="129"/>
      <c r="H247" s="129"/>
      <c r="I247" s="129"/>
      <c r="J247" s="129"/>
      <c r="K247" s="129"/>
      <c r="M247" s="43"/>
    </row>
    <row r="248" spans="2:15" x14ac:dyDescent="0.3">
      <c r="B248" s="530"/>
      <c r="C248" s="17" t="s">
        <v>148</v>
      </c>
      <c r="D248" s="131">
        <f>SUM(D249:D254)</f>
        <v>5.0500000000000003E-2</v>
      </c>
      <c r="M248" s="364">
        <f>(SUM(M246,M244,M243)/(1-D248))-M246-M244-M243</f>
        <v>141913.89996688301</v>
      </c>
      <c r="N248" s="4">
        <v>128272.86</v>
      </c>
      <c r="O248" s="335">
        <f>N248-M248</f>
        <v>-13641.039966883007</v>
      </c>
    </row>
    <row r="249" spans="2:15" x14ac:dyDescent="0.3">
      <c r="B249" s="530"/>
      <c r="C249" s="78" t="str">
        <f>Tabelas_Coeficientes!A42</f>
        <v>ISSQN</v>
      </c>
      <c r="D249" s="70">
        <f>Tabelas_Coeficientes!B42</f>
        <v>0.03</v>
      </c>
      <c r="E249" s="132">
        <f t="shared" ref="E249:E254" si="107">D249/SUM($D$249:$D$254)</f>
        <v>0.59405940594059403</v>
      </c>
      <c r="F249" s="132"/>
      <c r="G249" s="132"/>
      <c r="H249" s="132"/>
      <c r="I249" s="132"/>
      <c r="J249" s="132"/>
      <c r="K249" s="132"/>
      <c r="L249" s="34"/>
      <c r="M249" s="133">
        <f t="shared" ref="M249:M254" si="108">$M$248*E249</f>
        <v>84305.287109039404</v>
      </c>
    </row>
    <row r="250" spans="2:15" x14ac:dyDescent="0.3">
      <c r="B250" s="530"/>
      <c r="C250" s="78" t="str">
        <f>Tabelas_Coeficientes!A43</f>
        <v>PIS</v>
      </c>
      <c r="D250" s="70">
        <f>Tabelas_Coeficientes!B43</f>
        <v>0</v>
      </c>
      <c r="E250" s="132">
        <f t="shared" si="107"/>
        <v>0</v>
      </c>
      <c r="F250" s="132"/>
      <c r="G250" s="132"/>
      <c r="H250" s="132"/>
      <c r="I250" s="132"/>
      <c r="J250" s="132"/>
      <c r="K250" s="132"/>
      <c r="L250" s="34"/>
      <c r="M250" s="133">
        <f t="shared" si="108"/>
        <v>0</v>
      </c>
    </row>
    <row r="251" spans="2:15" x14ac:dyDescent="0.3">
      <c r="B251" s="530"/>
      <c r="C251" s="78" t="str">
        <f>Tabelas_Coeficientes!A44</f>
        <v>COFINS</v>
      </c>
      <c r="D251" s="70">
        <f>Tabelas_Coeficientes!B44</f>
        <v>0</v>
      </c>
      <c r="E251" s="132">
        <f t="shared" si="107"/>
        <v>0</v>
      </c>
      <c r="F251" s="132"/>
      <c r="G251" s="132"/>
      <c r="H251" s="132"/>
      <c r="I251" s="132"/>
      <c r="J251" s="132"/>
      <c r="K251" s="132"/>
      <c r="L251" s="34"/>
      <c r="M251" s="133">
        <f t="shared" si="108"/>
        <v>0</v>
      </c>
    </row>
    <row r="252" spans="2:15" x14ac:dyDescent="0.3">
      <c r="B252" s="530"/>
      <c r="C252" s="78" t="str">
        <f>Tabelas_Coeficientes!A45</f>
        <v>Taxa de Gerenciamento</v>
      </c>
      <c r="D252" s="70">
        <f>Tabelas_Coeficientes!B45</f>
        <v>8.5000000000000006E-3</v>
      </c>
      <c r="E252" s="132">
        <f t="shared" si="107"/>
        <v>0.16831683168316833</v>
      </c>
      <c r="F252" s="132"/>
      <c r="G252" s="132"/>
      <c r="H252" s="132"/>
      <c r="I252" s="132"/>
      <c r="J252" s="132"/>
      <c r="K252" s="132"/>
      <c r="L252" s="34"/>
      <c r="M252" s="133">
        <f t="shared" si="108"/>
        <v>23886.498014227833</v>
      </c>
    </row>
    <row r="253" spans="2:15" x14ac:dyDescent="0.3">
      <c r="B253" s="530"/>
      <c r="C253" s="78" t="str">
        <f>Tabelas_Coeficientes!A46</f>
        <v>INSS</v>
      </c>
      <c r="D253" s="433">
        <f>Tabelas_Coeficientes!B46</f>
        <v>1.2E-2</v>
      </c>
      <c r="E253" s="132">
        <f t="shared" si="107"/>
        <v>0.23762376237623761</v>
      </c>
      <c r="F253" s="132"/>
      <c r="G253" s="132"/>
      <c r="H253" s="132"/>
      <c r="I253" s="132"/>
      <c r="J253" s="132"/>
      <c r="K253" s="132"/>
      <c r="M253" s="133">
        <f t="shared" si="108"/>
        <v>33722.11484361576</v>
      </c>
      <c r="N253" s="426" t="s">
        <v>396</v>
      </c>
    </row>
    <row r="254" spans="2:15" x14ac:dyDescent="0.3">
      <c r="B254" s="530"/>
      <c r="C254" s="78" t="str">
        <f>Tabelas_Coeficientes!A47</f>
        <v>ICMS</v>
      </c>
      <c r="D254" s="70">
        <f>Tabelas_Coeficientes!B47</f>
        <v>0</v>
      </c>
      <c r="E254" s="132">
        <f t="shared" si="107"/>
        <v>0</v>
      </c>
      <c r="F254" s="132"/>
      <c r="G254" s="132"/>
      <c r="H254" s="132"/>
      <c r="I254" s="132"/>
      <c r="J254" s="132"/>
      <c r="K254" s="132"/>
      <c r="M254" s="133">
        <f t="shared" si="108"/>
        <v>0</v>
      </c>
    </row>
    <row r="255" spans="2:15" x14ac:dyDescent="0.3">
      <c r="B255" s="530"/>
      <c r="C255" s="17"/>
      <c r="M255" s="43"/>
    </row>
    <row r="256" spans="2:15" x14ac:dyDescent="0.3">
      <c r="B256" s="531"/>
      <c r="C256" s="89" t="s">
        <v>149</v>
      </c>
      <c r="D256" s="29"/>
      <c r="E256" s="28"/>
      <c r="F256" s="28"/>
      <c r="G256" s="28"/>
      <c r="H256" s="28"/>
      <c r="I256" s="28"/>
      <c r="J256" s="28"/>
      <c r="K256" s="28"/>
      <c r="L256" s="28"/>
      <c r="M256" s="134">
        <f>M248+M246+M244+M243</f>
        <v>2810176.2369679799</v>
      </c>
      <c r="N256" s="440">
        <f>N49+N140+N198+N224+N241+N246+N248</f>
        <v>2540056.5999999996</v>
      </c>
      <c r="O256" s="335">
        <f>N256-M256</f>
        <v>-270119.6369679803</v>
      </c>
    </row>
    <row r="257" spans="2:15" x14ac:dyDescent="0.3">
      <c r="B257" s="135"/>
      <c r="C257" s="45"/>
      <c r="D257" s="1"/>
      <c r="E257" s="45"/>
      <c r="F257" s="45"/>
      <c r="G257" s="45"/>
      <c r="H257" s="45"/>
      <c r="I257" s="45"/>
      <c r="J257" s="45"/>
      <c r="K257" s="45"/>
      <c r="L257" s="45"/>
      <c r="M257" s="136"/>
    </row>
    <row r="258" spans="2:15" x14ac:dyDescent="0.3">
      <c r="E258" s="337" t="s">
        <v>150</v>
      </c>
      <c r="F258" s="338"/>
      <c r="G258" s="338"/>
      <c r="H258" s="338"/>
      <c r="I258" s="338"/>
      <c r="J258" s="338"/>
      <c r="K258" s="338"/>
      <c r="L258" s="338"/>
      <c r="M258" s="339">
        <f>M9/M5</f>
        <v>0.65672085314404338</v>
      </c>
    </row>
    <row r="260" spans="2:15" ht="15.45" customHeight="1" x14ac:dyDescent="0.3">
      <c r="E260" s="337" t="s">
        <v>151</v>
      </c>
      <c r="F260" s="338"/>
      <c r="G260" s="340"/>
      <c r="H260" s="340"/>
      <c r="I260" s="340"/>
      <c r="J260" s="340"/>
      <c r="K260" s="340"/>
      <c r="L260" s="338"/>
      <c r="M260" s="428">
        <f>M256/M9</f>
        <v>17.909592419606142</v>
      </c>
      <c r="N260" s="442">
        <f>N256/M9</f>
        <v>16.188087362738909</v>
      </c>
      <c r="O260" s="335">
        <f>N260-M260</f>
        <v>-1.7215050568672332</v>
      </c>
    </row>
    <row r="261" spans="2:15" ht="15.45" customHeight="1" x14ac:dyDescent="0.3">
      <c r="E261" s="45"/>
      <c r="F261" s="45"/>
      <c r="L261" s="45"/>
      <c r="M261" s="341"/>
    </row>
    <row r="262" spans="2:15" x14ac:dyDescent="0.3">
      <c r="E262" s="337" t="s">
        <v>18</v>
      </c>
      <c r="F262" s="338"/>
      <c r="G262" s="338"/>
      <c r="H262" s="338"/>
      <c r="I262" s="338"/>
      <c r="J262" s="338"/>
      <c r="K262" s="338"/>
      <c r="L262" s="338"/>
      <c r="M262" s="342">
        <f>M256/M5</f>
        <v>11.761602813265837</v>
      </c>
      <c r="N262" s="453">
        <f>N256/M5</f>
        <v>10.631054543628204</v>
      </c>
    </row>
    <row r="265" spans="2:15" x14ac:dyDescent="0.3">
      <c r="C265" s="344" t="s">
        <v>363</v>
      </c>
      <c r="D265" s="344" t="s">
        <v>360</v>
      </c>
      <c r="E265" s="344" t="s">
        <v>18</v>
      </c>
      <c r="F265" s="344" t="s">
        <v>361</v>
      </c>
      <c r="G265" s="344" t="s">
        <v>357</v>
      </c>
    </row>
    <row r="266" spans="2:15" x14ac:dyDescent="0.3">
      <c r="C266" s="343" t="s">
        <v>13</v>
      </c>
      <c r="D266" s="345">
        <f>SUM(D267:D272)</f>
        <v>773966.86603722558</v>
      </c>
      <c r="E266" s="346">
        <f>D266/$M$5</f>
        <v>3.2393309534136878</v>
      </c>
      <c r="F266" s="346">
        <f>D266/$M$9</f>
        <v>4.9325842751991633</v>
      </c>
      <c r="G266" s="352">
        <f>D266/$D$293</f>
        <v>0.27541577494523678</v>
      </c>
      <c r="H266" s="348" t="b">
        <f>D266=M49</f>
        <v>1</v>
      </c>
    </row>
    <row r="267" spans="2:15" x14ac:dyDescent="0.3">
      <c r="C267" s="349" t="s">
        <v>15</v>
      </c>
      <c r="D267" s="350">
        <f>M14</f>
        <v>420156.48756440001</v>
      </c>
      <c r="E267" s="351">
        <f t="shared" ref="E267:E293" si="109">D267/$M$5</f>
        <v>1.7585066947549053</v>
      </c>
      <c r="F267" s="351">
        <f t="shared" ref="F267:F293" si="110">D267/$M$9</f>
        <v>2.6777080190709266</v>
      </c>
      <c r="G267" s="353">
        <f t="shared" ref="G267:G293" si="111">D267/$D$293</f>
        <v>0.14951250460281626</v>
      </c>
    </row>
    <row r="268" spans="2:15" x14ac:dyDescent="0.3">
      <c r="C268" s="349" t="s">
        <v>362</v>
      </c>
      <c r="D268" s="350">
        <f>M19</f>
        <v>27594.583182399998</v>
      </c>
      <c r="E268" s="351">
        <f t="shared" si="109"/>
        <v>0.11549329999999999</v>
      </c>
      <c r="F268" s="351">
        <f t="shared" si="110"/>
        <v>0.17586361000579953</v>
      </c>
      <c r="G268" s="353">
        <f t="shared" si="111"/>
        <v>9.8195205052950627E-3</v>
      </c>
      <c r="M268" t="s">
        <v>420</v>
      </c>
    </row>
    <row r="269" spans="2:15" x14ac:dyDescent="0.3">
      <c r="C269" s="349" t="s">
        <v>364</v>
      </c>
      <c r="D269" s="350">
        <f>M23</f>
        <v>8550.5895871999983</v>
      </c>
      <c r="E269" s="351">
        <f t="shared" si="109"/>
        <v>3.5787306582736211E-2</v>
      </c>
      <c r="F269" s="351">
        <f t="shared" si="110"/>
        <v>5.4493939717925668E-2</v>
      </c>
      <c r="G269" s="353">
        <f t="shared" si="111"/>
        <v>3.0427236109666906E-3</v>
      </c>
    </row>
    <row r="270" spans="2:15" x14ac:dyDescent="0.3">
      <c r="C270" s="349" t="s">
        <v>25</v>
      </c>
      <c r="D270" s="350">
        <f>M28</f>
        <v>43126.841619892257</v>
      </c>
      <c r="E270" s="351">
        <f t="shared" si="109"/>
        <v>0.18050141306122455</v>
      </c>
      <c r="F270" s="351">
        <f t="shared" si="110"/>
        <v>0.2748525681757723</v>
      </c>
      <c r="G270" s="353">
        <f t="shared" si="111"/>
        <v>1.5346667960733902E-2</v>
      </c>
    </row>
    <row r="271" spans="2:15" x14ac:dyDescent="0.3">
      <c r="C271" s="349" t="s">
        <v>35</v>
      </c>
      <c r="D271" s="350">
        <f>M39</f>
        <v>237274.15399999998</v>
      </c>
      <c r="E271" s="351">
        <f t="shared" si="109"/>
        <v>0.9930780569878791</v>
      </c>
      <c r="F271" s="351">
        <f t="shared" si="110"/>
        <v>1.5121768286076642</v>
      </c>
      <c r="G271" s="353">
        <f t="shared" si="111"/>
        <v>8.4433905204466919E-2</v>
      </c>
    </row>
    <row r="272" spans="2:15" x14ac:dyDescent="0.3">
      <c r="C272" s="349" t="s">
        <v>38</v>
      </c>
      <c r="D272" s="350">
        <f>M44</f>
        <v>37264.210083333339</v>
      </c>
      <c r="E272" s="351">
        <f t="shared" si="109"/>
        <v>0.15596418202694259</v>
      </c>
      <c r="F272" s="351">
        <f t="shared" si="110"/>
        <v>0.23748930962107553</v>
      </c>
      <c r="G272" s="353">
        <f t="shared" si="111"/>
        <v>1.3260453060957949E-2</v>
      </c>
    </row>
    <row r="273" spans="3:8" x14ac:dyDescent="0.3">
      <c r="C273" s="343" t="s">
        <v>146</v>
      </c>
      <c r="D273" s="345">
        <f>D274+D277+D281+D285</f>
        <v>1766751.4133391762</v>
      </c>
      <c r="E273" s="346">
        <f t="shared" si="109"/>
        <v>7.3944929574565403</v>
      </c>
      <c r="F273" s="346">
        <f t="shared" si="110"/>
        <v>11.259720050087479</v>
      </c>
      <c r="G273" s="352">
        <f t="shared" si="111"/>
        <v>0.62869772724482231</v>
      </c>
    </row>
    <row r="274" spans="3:8" x14ac:dyDescent="0.3">
      <c r="C274" s="349" t="s">
        <v>40</v>
      </c>
      <c r="D274" s="350">
        <f>SUM(D275:D276)</f>
        <v>429627.01729404659</v>
      </c>
      <c r="E274" s="351">
        <f t="shared" si="109"/>
        <v>1.79814428319011</v>
      </c>
      <c r="F274" s="351">
        <f t="shared" si="110"/>
        <v>2.7380648483773817</v>
      </c>
      <c r="G274" s="353">
        <f t="shared" si="111"/>
        <v>0.15288258851608169</v>
      </c>
      <c r="H274" s="348" t="b">
        <f>D274=M140</f>
        <v>1</v>
      </c>
    </row>
    <row r="275" spans="3:8" x14ac:dyDescent="0.3">
      <c r="C275" s="354" t="s">
        <v>153</v>
      </c>
      <c r="D275" s="355">
        <f>M94</f>
        <v>262387.19323636359</v>
      </c>
      <c r="E275" s="356">
        <f t="shared" si="109"/>
        <v>1.0981851990405629</v>
      </c>
      <c r="F275" s="356">
        <f t="shared" si="110"/>
        <v>1.672225259458435</v>
      </c>
      <c r="G275" s="357">
        <f t="shared" si="111"/>
        <v>9.3370369368529146E-2</v>
      </c>
    </row>
    <row r="276" spans="3:8" x14ac:dyDescent="0.3">
      <c r="C276" s="354" t="s">
        <v>154</v>
      </c>
      <c r="D276" s="355">
        <f>M138</f>
        <v>167239.82405768297</v>
      </c>
      <c r="E276" s="356">
        <f t="shared" si="109"/>
        <v>0.699959084149547</v>
      </c>
      <c r="F276" s="356">
        <f t="shared" si="110"/>
        <v>1.0658395889189465</v>
      </c>
      <c r="G276" s="357">
        <f t="shared" si="111"/>
        <v>5.9512219147552545E-2</v>
      </c>
    </row>
    <row r="277" spans="3:8" x14ac:dyDescent="0.3">
      <c r="C277" s="349" t="s">
        <v>365</v>
      </c>
      <c r="D277" s="350">
        <f>M198</f>
        <v>1159987.4718784627</v>
      </c>
      <c r="E277" s="351">
        <f t="shared" si="109"/>
        <v>4.8549666505326403</v>
      </c>
      <c r="F277" s="351">
        <f t="shared" si="110"/>
        <v>7.3927401989590313</v>
      </c>
      <c r="G277" s="353">
        <f t="shared" si="111"/>
        <v>0.41278104078270306</v>
      </c>
      <c r="H277" s="348" t="b">
        <f>D277=M198</f>
        <v>1</v>
      </c>
    </row>
    <row r="278" spans="3:8" x14ac:dyDescent="0.3">
      <c r="C278" s="354" t="s">
        <v>366</v>
      </c>
      <c r="D278" s="355">
        <f>M175</f>
        <v>718611.77591618116</v>
      </c>
      <c r="E278" s="356">
        <f t="shared" si="109"/>
        <v>3.0076499025488062</v>
      </c>
      <c r="F278" s="356">
        <f t="shared" si="110"/>
        <v>4.5797996030577028</v>
      </c>
      <c r="G278" s="357">
        <f t="shared" si="111"/>
        <v>0.25571769003766193</v>
      </c>
    </row>
    <row r="279" spans="3:8" x14ac:dyDescent="0.3">
      <c r="C279" s="354" t="s">
        <v>113</v>
      </c>
      <c r="D279" s="355">
        <f>M177</f>
        <v>81379.584000000003</v>
      </c>
      <c r="E279" s="356">
        <f t="shared" si="109"/>
        <v>0.3406029598874975</v>
      </c>
      <c r="F279" s="356">
        <f t="shared" si="110"/>
        <v>0.51864191346576682</v>
      </c>
      <c r="G279" s="357">
        <f t="shared" si="111"/>
        <v>2.8958889812478072E-2</v>
      </c>
    </row>
    <row r="280" spans="3:8" x14ac:dyDescent="0.3">
      <c r="C280" s="354" t="s">
        <v>118</v>
      </c>
      <c r="D280" s="355">
        <f>M194</f>
        <v>359996.11196228157</v>
      </c>
      <c r="E280" s="356">
        <f t="shared" si="109"/>
        <v>1.5067137880963368</v>
      </c>
      <c r="F280" s="356">
        <f t="shared" si="110"/>
        <v>2.2942986824355618</v>
      </c>
      <c r="G280" s="357">
        <f t="shared" si="111"/>
        <v>0.12810446093256303</v>
      </c>
    </row>
    <row r="281" spans="3:8" x14ac:dyDescent="0.3">
      <c r="C281" s="349" t="s">
        <v>120</v>
      </c>
      <c r="D281" s="350">
        <f>SUM(D282:D284)</f>
        <v>72044.646666666667</v>
      </c>
      <c r="E281" s="351">
        <f t="shared" si="109"/>
        <v>0.30153287461773698</v>
      </c>
      <c r="F281" s="351">
        <f t="shared" si="110"/>
        <v>0.45914923087054704</v>
      </c>
      <c r="G281" s="353">
        <f t="shared" si="111"/>
        <v>2.5637056394868223E-2</v>
      </c>
      <c r="H281" s="348" t="b">
        <f>D281=M224</f>
        <v>1</v>
      </c>
    </row>
    <row r="282" spans="3:8" x14ac:dyDescent="0.3">
      <c r="C282" s="354" t="s">
        <v>122</v>
      </c>
      <c r="D282" s="355">
        <f>M201</f>
        <v>71236.308333333334</v>
      </c>
      <c r="E282" s="356">
        <f t="shared" si="109"/>
        <v>0.29814968665595215</v>
      </c>
      <c r="F282" s="356">
        <f t="shared" si="110"/>
        <v>0.45399759308473914</v>
      </c>
      <c r="G282" s="357">
        <f t="shared" si="111"/>
        <v>2.5349409548133271E-2</v>
      </c>
    </row>
    <row r="283" spans="3:8" x14ac:dyDescent="0.3">
      <c r="C283" s="354" t="s">
        <v>367</v>
      </c>
      <c r="D283" s="355">
        <f>M206+M212+M216</f>
        <v>371.33833333333331</v>
      </c>
      <c r="E283" s="356">
        <f t="shared" si="109"/>
        <v>1.5541850822563003E-3</v>
      </c>
      <c r="F283" s="356">
        <f t="shared" si="110"/>
        <v>2.3665840285345859E-3</v>
      </c>
      <c r="G283" s="357">
        <f t="shared" si="111"/>
        <v>1.3214058550789905E-4</v>
      </c>
    </row>
    <row r="284" spans="3:8" x14ac:dyDescent="0.3">
      <c r="C284" s="354" t="s">
        <v>132</v>
      </c>
      <c r="D284" s="355">
        <f>M220</f>
        <v>437</v>
      </c>
      <c r="E284" s="356">
        <f t="shared" si="109"/>
        <v>1.8290028795285608E-3</v>
      </c>
      <c r="F284" s="356">
        <f t="shared" si="110"/>
        <v>2.7850537572733239E-3</v>
      </c>
      <c r="G284" s="357">
        <f t="shared" si="111"/>
        <v>1.555062612270532E-4</v>
      </c>
    </row>
    <row r="285" spans="3:8" x14ac:dyDescent="0.3">
      <c r="C285" s="349" t="s">
        <v>134</v>
      </c>
      <c r="D285" s="350">
        <f>M241</f>
        <v>105092.2775</v>
      </c>
      <c r="E285" s="351">
        <f t="shared" si="109"/>
        <v>0.43984914911605166</v>
      </c>
      <c r="F285" s="351">
        <f t="shared" si="110"/>
        <v>0.66976577188051667</v>
      </c>
      <c r="G285" s="353">
        <f t="shared" si="111"/>
        <v>3.7397041551169255E-2</v>
      </c>
      <c r="H285" s="348" t="b">
        <f>D285=M241</f>
        <v>1</v>
      </c>
    </row>
    <row r="286" spans="3:8" x14ac:dyDescent="0.3">
      <c r="C286" s="343" t="s">
        <v>368</v>
      </c>
      <c r="D286" s="345">
        <f>M246</f>
        <v>127544.05762469536</v>
      </c>
      <c r="E286" s="346">
        <f t="shared" si="109"/>
        <v>0.5338179603256854</v>
      </c>
      <c r="F286" s="346">
        <f t="shared" si="110"/>
        <v>0.81285367712938938</v>
      </c>
      <c r="G286" s="352">
        <f t="shared" si="111"/>
        <v>4.5386497809940959E-2</v>
      </c>
      <c r="H286" s="348" t="b">
        <f>D286=M246</f>
        <v>1</v>
      </c>
    </row>
    <row r="287" spans="3:8" x14ac:dyDescent="0.3">
      <c r="C287" s="343" t="s">
        <v>148</v>
      </c>
      <c r="D287" s="345">
        <f>SUM(D288:D292)</f>
        <v>141913.89996688301</v>
      </c>
      <c r="E287" s="346">
        <f t="shared" si="109"/>
        <v>0.59396094206992489</v>
      </c>
      <c r="F287" s="346">
        <f t="shared" si="110"/>
        <v>0.9044344171901102</v>
      </c>
      <c r="G287" s="352">
        <f t="shared" si="111"/>
        <v>5.050000000000001E-2</v>
      </c>
      <c r="H287" s="348" t="b">
        <f>D287=M248</f>
        <v>1</v>
      </c>
    </row>
    <row r="288" spans="3:8" x14ac:dyDescent="0.3">
      <c r="C288" s="349" t="s">
        <v>193</v>
      </c>
      <c r="D288" s="350">
        <f>M249</f>
        <v>84305.287109039404</v>
      </c>
      <c r="E288" s="351">
        <f t="shared" si="109"/>
        <v>0.35284808439797516</v>
      </c>
      <c r="F288" s="351">
        <f t="shared" si="110"/>
        <v>0.53728777258818428</v>
      </c>
      <c r="G288" s="353">
        <f t="shared" si="111"/>
        <v>3.0000000000000002E-2</v>
      </c>
    </row>
    <row r="289" spans="3:8" x14ac:dyDescent="0.3">
      <c r="C289" s="349" t="s">
        <v>156</v>
      </c>
      <c r="D289" s="350">
        <f>M250</f>
        <v>0</v>
      </c>
      <c r="E289" s="351">
        <f t="shared" si="109"/>
        <v>0</v>
      </c>
      <c r="F289" s="351">
        <f t="shared" si="110"/>
        <v>0</v>
      </c>
      <c r="G289" s="353">
        <f t="shared" si="111"/>
        <v>0</v>
      </c>
    </row>
    <row r="290" spans="3:8" x14ac:dyDescent="0.3">
      <c r="C290" s="349" t="s">
        <v>157</v>
      </c>
      <c r="D290" s="350">
        <f>M251</f>
        <v>0</v>
      </c>
      <c r="E290" s="351">
        <f t="shared" si="109"/>
        <v>0</v>
      </c>
      <c r="F290" s="351">
        <f t="shared" si="110"/>
        <v>0</v>
      </c>
      <c r="G290" s="353">
        <f t="shared" si="111"/>
        <v>0</v>
      </c>
    </row>
    <row r="291" spans="3:8" x14ac:dyDescent="0.3">
      <c r="C291" s="349" t="s">
        <v>194</v>
      </c>
      <c r="D291" s="350">
        <f>M252</f>
        <v>23886.498014227833</v>
      </c>
      <c r="E291" s="351">
        <f t="shared" si="109"/>
        <v>9.9973623912759629E-2</v>
      </c>
      <c r="F291" s="351">
        <f t="shared" si="110"/>
        <v>0.15223153556665223</v>
      </c>
      <c r="G291" s="353">
        <f t="shared" si="111"/>
        <v>8.5000000000000006E-3</v>
      </c>
    </row>
    <row r="292" spans="3:8" x14ac:dyDescent="0.3">
      <c r="C292" s="349" t="s">
        <v>195</v>
      </c>
      <c r="D292" s="350">
        <f>M253</f>
        <v>33722.11484361576</v>
      </c>
      <c r="E292" s="351">
        <f t="shared" si="109"/>
        <v>0.14113923375919005</v>
      </c>
      <c r="F292" s="351">
        <f t="shared" si="110"/>
        <v>0.21491510903527369</v>
      </c>
      <c r="G292" s="353">
        <f t="shared" si="111"/>
        <v>1.2E-2</v>
      </c>
    </row>
    <row r="293" spans="3:8" x14ac:dyDescent="0.3">
      <c r="C293" s="343" t="s">
        <v>149</v>
      </c>
      <c r="D293" s="345">
        <f>D266+D273+D286+D287</f>
        <v>2810176.2369679799</v>
      </c>
      <c r="E293" s="346">
        <f t="shared" si="109"/>
        <v>11.761602813265837</v>
      </c>
      <c r="F293" s="346">
        <f t="shared" si="110"/>
        <v>17.909592419606142</v>
      </c>
      <c r="G293" s="352">
        <f t="shared" si="111"/>
        <v>1</v>
      </c>
      <c r="H293" s="348" t="b">
        <f>D293=M256</f>
        <v>1</v>
      </c>
    </row>
    <row r="294" spans="3:8" x14ac:dyDescent="0.3">
      <c r="D294" s="107"/>
      <c r="E294" s="347"/>
      <c r="F294" s="347"/>
      <c r="G294" s="432"/>
    </row>
    <row r="295" spans="3:8" x14ac:dyDescent="0.3">
      <c r="E295" s="347"/>
      <c r="F295" s="347"/>
    </row>
    <row r="296" spans="3:8" x14ac:dyDescent="0.3">
      <c r="E296" s="347"/>
      <c r="F296" s="347"/>
    </row>
    <row r="297" spans="3:8" x14ac:dyDescent="0.3">
      <c r="E297" s="347"/>
      <c r="F297" s="347"/>
    </row>
    <row r="298" spans="3:8" x14ac:dyDescent="0.3">
      <c r="E298" s="347"/>
      <c r="F298" s="347"/>
    </row>
    <row r="303" spans="3:8" x14ac:dyDescent="0.3">
      <c r="C303" s="360" t="s">
        <v>365</v>
      </c>
      <c r="D303" s="107">
        <f>D277</f>
        <v>1159987.4718784627</v>
      </c>
    </row>
    <row r="304" spans="3:8" x14ac:dyDescent="0.3">
      <c r="C304" t="s">
        <v>15</v>
      </c>
      <c r="D304" s="107">
        <f>D267+D269</f>
        <v>428707.07715160004</v>
      </c>
    </row>
    <row r="305" spans="3:4" x14ac:dyDescent="0.3">
      <c r="C305" t="s">
        <v>35</v>
      </c>
      <c r="D305" s="107">
        <f>D271</f>
        <v>237274.15399999998</v>
      </c>
    </row>
    <row r="306" spans="3:4" x14ac:dyDescent="0.3">
      <c r="C306" s="360" t="s">
        <v>370</v>
      </c>
      <c r="D306" s="107">
        <f>D272+D285</f>
        <v>142356.48758333334</v>
      </c>
    </row>
    <row r="307" spans="3:4" x14ac:dyDescent="0.3">
      <c r="C307" t="s">
        <v>148</v>
      </c>
      <c r="D307" s="107">
        <f>D287</f>
        <v>141913.89996688301</v>
      </c>
    </row>
    <row r="308" spans="3:4" x14ac:dyDescent="0.3">
      <c r="C308" t="s">
        <v>371</v>
      </c>
      <c r="D308" s="107">
        <f>D286</f>
        <v>127544.05762469536</v>
      </c>
    </row>
    <row r="309" spans="3:4" x14ac:dyDescent="0.3">
      <c r="C309" s="360" t="s">
        <v>120</v>
      </c>
      <c r="D309" s="107">
        <f>D281</f>
        <v>72044.646666666667</v>
      </c>
    </row>
    <row r="310" spans="3:4" x14ac:dyDescent="0.3">
      <c r="C310" s="360" t="s">
        <v>40</v>
      </c>
      <c r="D310" s="107">
        <f>D274</f>
        <v>429627.01729404659</v>
      </c>
    </row>
    <row r="311" spans="3:4" x14ac:dyDescent="0.3">
      <c r="C311" t="s">
        <v>25</v>
      </c>
      <c r="D311" s="107">
        <f>D270</f>
        <v>43126.841619892257</v>
      </c>
    </row>
    <row r="312" spans="3:4" x14ac:dyDescent="0.3">
      <c r="C312" t="s">
        <v>362</v>
      </c>
      <c r="D312" s="107">
        <f>D268</f>
        <v>27594.583182399998</v>
      </c>
    </row>
    <row r="313" spans="3:4" x14ac:dyDescent="0.3">
      <c r="D313" s="107"/>
    </row>
    <row r="328" spans="3:7" x14ac:dyDescent="0.3">
      <c r="C328" s="343" t="s">
        <v>13</v>
      </c>
      <c r="D328" s="107">
        <f>D266</f>
        <v>773966.86603722558</v>
      </c>
      <c r="E328" s="107">
        <f>F266</f>
        <v>4.9325842751991633</v>
      </c>
      <c r="F328" s="107">
        <f>F266</f>
        <v>4.9325842751991633</v>
      </c>
      <c r="G328" s="107">
        <f>G266</f>
        <v>0.27541577494523678</v>
      </c>
    </row>
    <row r="329" spans="3:7" x14ac:dyDescent="0.3">
      <c r="C329" t="s">
        <v>40</v>
      </c>
      <c r="D329" s="107">
        <f>D274</f>
        <v>429627.01729404659</v>
      </c>
      <c r="E329" s="107">
        <f>F274</f>
        <v>2.7380648483773817</v>
      </c>
      <c r="F329" s="107">
        <f>F274</f>
        <v>2.7380648483773817</v>
      </c>
      <c r="G329" s="107">
        <f>G274</f>
        <v>0.15288258851608169</v>
      </c>
    </row>
    <row r="330" spans="3:7" x14ac:dyDescent="0.3">
      <c r="C330" t="s">
        <v>365</v>
      </c>
      <c r="D330" s="107">
        <f>D277</f>
        <v>1159987.4718784627</v>
      </c>
      <c r="E330" s="107">
        <f>F277</f>
        <v>7.3927401989590313</v>
      </c>
      <c r="F330" s="107">
        <f>F277</f>
        <v>7.3927401989590313</v>
      </c>
      <c r="G330" s="107">
        <f>G277</f>
        <v>0.41278104078270306</v>
      </c>
    </row>
    <row r="331" spans="3:7" x14ac:dyDescent="0.3">
      <c r="C331" t="s">
        <v>120</v>
      </c>
      <c r="D331" s="107">
        <f>D281</f>
        <v>72044.646666666667</v>
      </c>
      <c r="E331" s="107">
        <f>F281</f>
        <v>0.45914923087054704</v>
      </c>
      <c r="F331" s="107">
        <f>F281</f>
        <v>0.45914923087054704</v>
      </c>
      <c r="G331" s="107">
        <f>G281</f>
        <v>2.5637056394868223E-2</v>
      </c>
    </row>
    <row r="332" spans="3:7" x14ac:dyDescent="0.3">
      <c r="C332" t="s">
        <v>372</v>
      </c>
      <c r="D332" s="107">
        <f>D285</f>
        <v>105092.2775</v>
      </c>
      <c r="E332" s="107">
        <f>F285</f>
        <v>0.66976577188051667</v>
      </c>
      <c r="F332" s="107">
        <f t="shared" ref="F332:G334" si="112">F285</f>
        <v>0.66976577188051667</v>
      </c>
      <c r="G332" s="107">
        <f t="shared" si="112"/>
        <v>3.7397041551169255E-2</v>
      </c>
    </row>
    <row r="333" spans="3:7" x14ac:dyDescent="0.3">
      <c r="C333" s="343" t="s">
        <v>371</v>
      </c>
      <c r="D333" s="107">
        <f>D286</f>
        <v>127544.05762469536</v>
      </c>
      <c r="E333" s="107">
        <f>F286</f>
        <v>0.81285367712938938</v>
      </c>
      <c r="F333" s="107">
        <f t="shared" si="112"/>
        <v>0.81285367712938938</v>
      </c>
      <c r="G333" s="107">
        <f t="shared" si="112"/>
        <v>4.5386497809940959E-2</v>
      </c>
    </row>
    <row r="334" spans="3:7" x14ac:dyDescent="0.3">
      <c r="C334" s="343" t="s">
        <v>148</v>
      </c>
      <c r="D334" s="107">
        <f>D287</f>
        <v>141913.89996688301</v>
      </c>
      <c r="E334" s="107">
        <f>F287</f>
        <v>0.9044344171901102</v>
      </c>
      <c r="F334" s="107">
        <f t="shared" si="112"/>
        <v>0.9044344171901102</v>
      </c>
      <c r="G334" s="107">
        <f t="shared" si="112"/>
        <v>5.050000000000001E-2</v>
      </c>
    </row>
    <row r="335" spans="3:7" x14ac:dyDescent="0.3">
      <c r="C335" t="s">
        <v>373</v>
      </c>
      <c r="D335" s="107">
        <f>-SUM(D328:D334)</f>
        <v>-2810176.2369679799</v>
      </c>
      <c r="E335" s="107">
        <f>-SUM(E328:E334)</f>
        <v>-17.909592419606142</v>
      </c>
      <c r="F335" s="107">
        <f>-SUM(F328:F334)</f>
        <v>-17.909592419606142</v>
      </c>
      <c r="G335" s="107">
        <f>-SUM(G328:G334)</f>
        <v>-1</v>
      </c>
    </row>
    <row r="366" spans="3:6" x14ac:dyDescent="0.3">
      <c r="C366" s="344" t="s">
        <v>363</v>
      </c>
      <c r="D366" s="344" t="s">
        <v>360</v>
      </c>
      <c r="E366" s="344" t="s">
        <v>413</v>
      </c>
      <c r="F366" s="344" t="s">
        <v>378</v>
      </c>
    </row>
    <row r="367" spans="3:6" x14ac:dyDescent="0.3">
      <c r="C367" s="343" t="s">
        <v>13</v>
      </c>
      <c r="D367" s="345">
        <v>758920.71370523237</v>
      </c>
      <c r="E367" s="345">
        <v>760709.1642758809</v>
      </c>
      <c r="F367" s="345">
        <f>D367-E367</f>
        <v>-1788.4505706485361</v>
      </c>
    </row>
    <row r="368" spans="3:6" x14ac:dyDescent="0.3">
      <c r="C368" s="349" t="s">
        <v>15</v>
      </c>
      <c r="D368" s="350">
        <v>455133.07746690005</v>
      </c>
      <c r="E368" s="350">
        <v>455133.07746690005</v>
      </c>
      <c r="F368" s="350">
        <f t="shared" ref="F368:F394" si="113">D368-E368</f>
        <v>0</v>
      </c>
    </row>
    <row r="369" spans="3:6" x14ac:dyDescent="0.3">
      <c r="C369" s="349" t="s">
        <v>362</v>
      </c>
      <c r="D369" s="350">
        <v>29745.038824799998</v>
      </c>
      <c r="E369" s="350">
        <v>29745.038824799998</v>
      </c>
      <c r="F369" s="350">
        <f t="shared" si="113"/>
        <v>0</v>
      </c>
    </row>
    <row r="370" spans="3:6" x14ac:dyDescent="0.3">
      <c r="C370" s="349" t="s">
        <v>364</v>
      </c>
      <c r="D370" s="350">
        <v>8689.7974240000003</v>
      </c>
      <c r="E370" s="350">
        <v>8689.7974240000003</v>
      </c>
      <c r="F370" s="350">
        <f t="shared" si="113"/>
        <v>0</v>
      </c>
    </row>
    <row r="371" spans="3:6" x14ac:dyDescent="0.3">
      <c r="C371" s="349" t="s">
        <v>25</v>
      </c>
      <c r="D371" s="350">
        <v>31384.698902032342</v>
      </c>
      <c r="E371" s="350">
        <v>33173.149472680852</v>
      </c>
      <c r="F371" s="350">
        <f t="shared" si="113"/>
        <v>-1788.4505706485106</v>
      </c>
    </row>
    <row r="372" spans="3:6" x14ac:dyDescent="0.3">
      <c r="C372" s="349" t="s">
        <v>35</v>
      </c>
      <c r="D372" s="350">
        <v>200665.55489999996</v>
      </c>
      <c r="E372" s="350">
        <v>200665.55489999996</v>
      </c>
      <c r="F372" s="350">
        <f t="shared" si="113"/>
        <v>0</v>
      </c>
    </row>
    <row r="373" spans="3:6" x14ac:dyDescent="0.3">
      <c r="C373" s="349" t="s">
        <v>38</v>
      </c>
      <c r="D373" s="350">
        <v>33302.546187500004</v>
      </c>
      <c r="E373" s="350">
        <v>33302.546187500004</v>
      </c>
      <c r="F373" s="350">
        <f t="shared" si="113"/>
        <v>0</v>
      </c>
    </row>
    <row r="374" spans="3:6" x14ac:dyDescent="0.3">
      <c r="C374" s="343" t="s">
        <v>146</v>
      </c>
      <c r="D374" s="345">
        <v>1552425.1727973241</v>
      </c>
      <c r="E374" s="345">
        <v>1632030.838255211</v>
      </c>
      <c r="F374" s="345">
        <f t="shared" si="113"/>
        <v>-79605.665457886877</v>
      </c>
    </row>
    <row r="375" spans="3:6" x14ac:dyDescent="0.3">
      <c r="C375" s="349" t="s">
        <v>40</v>
      </c>
      <c r="D375" s="350">
        <v>443515.90513575665</v>
      </c>
      <c r="E375" s="350">
        <v>502082.97709107172</v>
      </c>
      <c r="F375" s="350">
        <f t="shared" si="113"/>
        <v>-58567.07195531507</v>
      </c>
    </row>
    <row r="376" spans="3:6" x14ac:dyDescent="0.3">
      <c r="C376" s="354" t="s">
        <v>153</v>
      </c>
      <c r="D376" s="355">
        <v>278562.07145454542</v>
      </c>
      <c r="E376" s="355">
        <v>317619.09122727276</v>
      </c>
      <c r="F376" s="355">
        <f t="shared" si="113"/>
        <v>-39057.019772727333</v>
      </c>
    </row>
    <row r="377" spans="3:6" x14ac:dyDescent="0.3">
      <c r="C377" s="354" t="s">
        <v>154</v>
      </c>
      <c r="D377" s="355">
        <v>164953.83368121122</v>
      </c>
      <c r="E377" s="355">
        <v>184463.88586379896</v>
      </c>
      <c r="F377" s="355">
        <f t="shared" si="113"/>
        <v>-19510.052182587737</v>
      </c>
    </row>
    <row r="378" spans="3:6" x14ac:dyDescent="0.3">
      <c r="C378" s="349" t="s">
        <v>365</v>
      </c>
      <c r="D378" s="350">
        <v>933503.6551615675</v>
      </c>
      <c r="E378" s="350">
        <v>954542.2486641393</v>
      </c>
      <c r="F378" s="350">
        <f t="shared" si="113"/>
        <v>-21038.593502571806</v>
      </c>
    </row>
    <row r="379" spans="3:6" x14ac:dyDescent="0.3">
      <c r="C379" s="354" t="s">
        <v>366</v>
      </c>
      <c r="D379" s="355">
        <v>580603.14424935682</v>
      </c>
      <c r="E379" s="355">
        <v>595112.51907871664</v>
      </c>
      <c r="F379" s="355">
        <f t="shared" si="113"/>
        <v>-14509.374829359818</v>
      </c>
    </row>
    <row r="380" spans="3:6" x14ac:dyDescent="0.3">
      <c r="C380" s="354" t="s">
        <v>113</v>
      </c>
      <c r="D380" s="355">
        <v>63192.480000000003</v>
      </c>
      <c r="E380" s="355">
        <v>63192.480000000003</v>
      </c>
      <c r="F380" s="355">
        <f t="shared" si="113"/>
        <v>0</v>
      </c>
    </row>
    <row r="381" spans="3:6" x14ac:dyDescent="0.3">
      <c r="C381" s="354" t="s">
        <v>118</v>
      </c>
      <c r="D381" s="355">
        <v>289708.03091221058</v>
      </c>
      <c r="E381" s="355">
        <v>296237.24958542257</v>
      </c>
      <c r="F381" s="355">
        <f t="shared" si="113"/>
        <v>-6529.2186732119881</v>
      </c>
    </row>
    <row r="382" spans="3:6" x14ac:dyDescent="0.3">
      <c r="C382" s="349" t="s">
        <v>120</v>
      </c>
      <c r="D382" s="350">
        <v>72029.490000000005</v>
      </c>
      <c r="E382" s="350">
        <v>72029.490000000005</v>
      </c>
      <c r="F382" s="350">
        <f t="shared" si="113"/>
        <v>0</v>
      </c>
    </row>
    <row r="383" spans="3:6" x14ac:dyDescent="0.3">
      <c r="C383" s="354" t="s">
        <v>122</v>
      </c>
      <c r="D383" s="355">
        <v>71236.308333333334</v>
      </c>
      <c r="E383" s="355">
        <v>71236.308333333334</v>
      </c>
      <c r="F383" s="355">
        <f t="shared" si="113"/>
        <v>0</v>
      </c>
    </row>
    <row r="384" spans="3:6" x14ac:dyDescent="0.3">
      <c r="C384" s="354" t="s">
        <v>367</v>
      </c>
      <c r="D384" s="355">
        <v>356.18166666666662</v>
      </c>
      <c r="E384" s="355">
        <v>356.18166666666662</v>
      </c>
      <c r="F384" s="355">
        <f t="shared" si="113"/>
        <v>0</v>
      </c>
    </row>
    <row r="385" spans="3:6" x14ac:dyDescent="0.3">
      <c r="C385" s="354" t="s">
        <v>132</v>
      </c>
      <c r="D385" s="355">
        <v>437</v>
      </c>
      <c r="E385" s="355">
        <v>437</v>
      </c>
      <c r="F385" s="355">
        <f t="shared" si="113"/>
        <v>0</v>
      </c>
    </row>
    <row r="386" spans="3:6" x14ac:dyDescent="0.3">
      <c r="C386" s="349" t="s">
        <v>134</v>
      </c>
      <c r="D386" s="350">
        <v>103376.1225</v>
      </c>
      <c r="E386" s="350">
        <v>103376.1225</v>
      </c>
      <c r="F386" s="350">
        <f t="shared" si="113"/>
        <v>0</v>
      </c>
    </row>
    <row r="387" spans="3:6" x14ac:dyDescent="0.3">
      <c r="C387" s="343" t="s">
        <v>368</v>
      </c>
      <c r="D387" s="345">
        <v>116029.56350242834</v>
      </c>
      <c r="E387" s="345">
        <v>120115.5481270608</v>
      </c>
      <c r="F387" s="345">
        <f t="shared" si="113"/>
        <v>-4085.9846246324596</v>
      </c>
    </row>
    <row r="388" spans="3:6" x14ac:dyDescent="0.3">
      <c r="C388" s="343" t="s">
        <v>148</v>
      </c>
      <c r="D388" s="345">
        <v>139917.46380250854</v>
      </c>
      <c r="E388" s="345">
        <v>144844.66156622837</v>
      </c>
      <c r="F388" s="345">
        <f t="shared" si="113"/>
        <v>-4927.1977637198288</v>
      </c>
    </row>
    <row r="389" spans="3:6" x14ac:dyDescent="0.3">
      <c r="C389" s="349" t="s">
        <v>193</v>
      </c>
      <c r="D389" s="350">
        <v>77018.787414224891</v>
      </c>
      <c r="E389" s="350">
        <v>79731.006366731221</v>
      </c>
      <c r="F389" s="350">
        <f t="shared" si="113"/>
        <v>-2712.2189525063295</v>
      </c>
    </row>
    <row r="390" spans="3:6" x14ac:dyDescent="0.3">
      <c r="C390" s="349" t="s">
        <v>156</v>
      </c>
      <c r="D390" s="350">
        <v>0</v>
      </c>
      <c r="E390" s="350">
        <v>0</v>
      </c>
      <c r="F390" s="350">
        <f t="shared" si="113"/>
        <v>0</v>
      </c>
    </row>
    <row r="391" spans="3:6" x14ac:dyDescent="0.3">
      <c r="C391" s="349" t="s">
        <v>157</v>
      </c>
      <c r="D391" s="350">
        <v>0</v>
      </c>
      <c r="E391" s="350">
        <v>0</v>
      </c>
      <c r="F391" s="350">
        <f t="shared" si="113"/>
        <v>0</v>
      </c>
    </row>
    <row r="392" spans="3:6" x14ac:dyDescent="0.3">
      <c r="C392" s="349" t="s">
        <v>194</v>
      </c>
      <c r="D392" s="350">
        <v>21821.989767363721</v>
      </c>
      <c r="E392" s="350">
        <v>22590.451803907177</v>
      </c>
      <c r="F392" s="350">
        <f t="shared" si="113"/>
        <v>-768.46203654345663</v>
      </c>
    </row>
    <row r="393" spans="3:6" x14ac:dyDescent="0.3">
      <c r="C393" s="349" t="s">
        <v>195</v>
      </c>
      <c r="D393" s="350">
        <v>41076.686620919943</v>
      </c>
      <c r="E393" s="350">
        <v>42523.203395589982</v>
      </c>
      <c r="F393" s="350">
        <f t="shared" si="113"/>
        <v>-1446.516774670039</v>
      </c>
    </row>
    <row r="394" spans="3:6" x14ac:dyDescent="0.3">
      <c r="C394" s="343" t="s">
        <v>149</v>
      </c>
      <c r="D394" s="345">
        <v>2567292.9138074932</v>
      </c>
      <c r="E394" s="345">
        <v>2657700.212224381</v>
      </c>
      <c r="F394" s="345">
        <f t="shared" si="113"/>
        <v>-90407.298416887876</v>
      </c>
    </row>
  </sheetData>
  <sortState xmlns:xlrd2="http://schemas.microsoft.com/office/spreadsheetml/2017/richdata2" ref="C303:D313">
    <sortCondition descending="1" ref="D303:D313"/>
  </sortState>
  <mergeCells count="8">
    <mergeCell ref="B243:B256"/>
    <mergeCell ref="B3:B11"/>
    <mergeCell ref="B13:B49"/>
    <mergeCell ref="B200:B224"/>
    <mergeCell ref="B226:B241"/>
    <mergeCell ref="B51:B95"/>
    <mergeCell ref="B96:B140"/>
    <mergeCell ref="B176:B198"/>
  </mergeCells>
  <conditionalFormatting sqref="O1:O1048576">
    <cfRule type="cellIs" dxfId="38" priority="1" operator="lessThan">
      <formula>-5</formula>
    </cfRule>
    <cfRule type="cellIs" dxfId="37" priority="2" operator="greaterThan">
      <formula>5</formula>
    </cfRule>
  </conditionalFormatting>
  <conditionalFormatting sqref="O14">
    <cfRule type="cellIs" dxfId="36" priority="69" operator="between">
      <formula>-2</formula>
      <formula>2</formula>
    </cfRule>
  </conditionalFormatting>
  <conditionalFormatting sqref="O14:O28">
    <cfRule type="cellIs" dxfId="35" priority="71" operator="lessThan">
      <formula>-2</formula>
    </cfRule>
  </conditionalFormatting>
  <conditionalFormatting sqref="O19">
    <cfRule type="cellIs" dxfId="34" priority="68" operator="between">
      <formula>-2</formula>
      <formula>2</formula>
    </cfRule>
  </conditionalFormatting>
  <conditionalFormatting sqref="O23">
    <cfRule type="cellIs" dxfId="33" priority="67" operator="between">
      <formula>-2</formula>
      <formula>2</formula>
    </cfRule>
  </conditionalFormatting>
  <conditionalFormatting sqref="O28">
    <cfRule type="cellIs" dxfId="32" priority="66" operator="between">
      <formula>-2</formula>
      <formula>2</formula>
    </cfRule>
  </conditionalFormatting>
  <conditionalFormatting sqref="O39">
    <cfRule type="cellIs" dxfId="31" priority="64" operator="between">
      <formula>-2</formula>
      <formula>2</formula>
    </cfRule>
  </conditionalFormatting>
  <conditionalFormatting sqref="O39:O256">
    <cfRule type="cellIs" dxfId="30" priority="5" operator="lessThan">
      <formula>-2</formula>
    </cfRule>
  </conditionalFormatting>
  <conditionalFormatting sqref="O44">
    <cfRule type="cellIs" dxfId="29" priority="62" operator="between">
      <formula>-2</formula>
      <formula>2</formula>
    </cfRule>
  </conditionalFormatting>
  <conditionalFormatting sqref="O49">
    <cfRule type="cellIs" dxfId="28" priority="60" operator="between">
      <formula>-2</formula>
      <formula>2</formula>
    </cfRule>
  </conditionalFormatting>
  <conditionalFormatting sqref="O52">
    <cfRule type="cellIs" dxfId="27" priority="58" operator="between">
      <formula>-2</formula>
      <formula>2</formula>
    </cfRule>
  </conditionalFormatting>
  <conditionalFormatting sqref="O62">
    <cfRule type="cellIs" dxfId="26" priority="56" operator="between">
      <formula>-2</formula>
      <formula>2</formula>
    </cfRule>
  </conditionalFormatting>
  <conditionalFormatting sqref="O75">
    <cfRule type="cellIs" dxfId="25" priority="54" operator="between">
      <formula>-2</formula>
      <formula>2</formula>
    </cfRule>
  </conditionalFormatting>
  <conditionalFormatting sqref="O84">
    <cfRule type="cellIs" dxfId="24" priority="52" operator="between">
      <formula>-2</formula>
      <formula>2</formula>
    </cfRule>
  </conditionalFormatting>
  <conditionalFormatting sqref="O89">
    <cfRule type="cellIs" dxfId="23" priority="50" operator="between">
      <formula>-2</formula>
      <formula>2</formula>
    </cfRule>
  </conditionalFormatting>
  <conditionalFormatting sqref="O94">
    <cfRule type="cellIs" dxfId="22" priority="48" operator="between">
      <formula>-2</formula>
      <formula>2</formula>
    </cfRule>
  </conditionalFormatting>
  <conditionalFormatting sqref="O96">
    <cfRule type="cellIs" dxfId="21" priority="3" operator="between">
      <formula>-2</formula>
      <formula>2</formula>
    </cfRule>
  </conditionalFormatting>
  <conditionalFormatting sqref="O103">
    <cfRule type="cellIs" dxfId="20" priority="44" operator="between">
      <formula>-2</formula>
      <formula>2</formula>
    </cfRule>
  </conditionalFormatting>
  <conditionalFormatting sqref="O112">
    <cfRule type="cellIs" dxfId="19" priority="42" operator="between">
      <formula>-2</formula>
      <formula>2</formula>
    </cfRule>
  </conditionalFormatting>
  <conditionalFormatting sqref="O118">
    <cfRule type="cellIs" dxfId="18" priority="40" operator="between">
      <formula>-2</formula>
      <formula>2</formula>
    </cfRule>
  </conditionalFormatting>
  <conditionalFormatting sqref="O125">
    <cfRule type="cellIs" dxfId="17" priority="38" operator="between">
      <formula>-2</formula>
      <formula>2</formula>
    </cfRule>
  </conditionalFormatting>
  <conditionalFormatting sqref="O132">
    <cfRule type="cellIs" dxfId="16" priority="36" operator="between">
      <formula>-2</formula>
      <formula>2</formula>
    </cfRule>
  </conditionalFormatting>
  <conditionalFormatting sqref="O138">
    <cfRule type="cellIs" dxfId="15" priority="34" operator="between">
      <formula>-2</formula>
      <formula>2</formula>
    </cfRule>
  </conditionalFormatting>
  <conditionalFormatting sqref="O140">
    <cfRule type="cellIs" dxfId="14" priority="32" operator="between">
      <formula>-2</formula>
      <formula>2</formula>
    </cfRule>
  </conditionalFormatting>
  <conditionalFormatting sqref="O192">
    <cfRule type="cellIs" dxfId="13" priority="30" operator="between">
      <formula>-2</formula>
      <formula>2</formula>
    </cfRule>
  </conditionalFormatting>
  <conditionalFormatting sqref="O194">
    <cfRule type="cellIs" dxfId="12" priority="28" operator="between">
      <formula>-2</formula>
      <formula>2</formula>
    </cfRule>
  </conditionalFormatting>
  <conditionalFormatting sqref="O198">
    <cfRule type="cellIs" dxfId="11" priority="26" operator="between">
      <formula>-2</formula>
      <formula>2</formula>
    </cfRule>
  </conditionalFormatting>
  <conditionalFormatting sqref="O201">
    <cfRule type="cellIs" dxfId="10" priority="24" operator="between">
      <formula>-2</formula>
      <formula>2</formula>
    </cfRule>
  </conditionalFormatting>
  <conditionalFormatting sqref="O206">
    <cfRule type="cellIs" dxfId="9" priority="22" operator="between">
      <formula>-2</formula>
      <formula>2</formula>
    </cfRule>
  </conditionalFormatting>
  <conditionalFormatting sqref="O220">
    <cfRule type="cellIs" dxfId="8" priority="20" operator="between">
      <formula>-2</formula>
      <formula>2</formula>
    </cfRule>
  </conditionalFormatting>
  <conditionalFormatting sqref="O224">
    <cfRule type="cellIs" dxfId="7" priority="18" operator="between">
      <formula>-2</formula>
      <formula>2</formula>
    </cfRule>
  </conditionalFormatting>
  <conditionalFormatting sqref="O227">
    <cfRule type="cellIs" dxfId="6" priority="16" operator="between">
      <formula>-2</formula>
      <formula>2</formula>
    </cfRule>
  </conditionalFormatting>
  <conditionalFormatting sqref="O233">
    <cfRule type="cellIs" dxfId="5" priority="14" operator="between">
      <formula>-2</formula>
      <formula>2</formula>
    </cfRule>
  </conditionalFormatting>
  <conditionalFormatting sqref="O237">
    <cfRule type="cellIs" dxfId="4" priority="12" operator="between">
      <formula>-2</formula>
      <formula>2</formula>
    </cfRule>
  </conditionalFormatting>
  <conditionalFormatting sqref="O241">
    <cfRule type="cellIs" dxfId="3" priority="10" operator="between">
      <formula>-2</formula>
      <formula>2</formula>
    </cfRule>
  </conditionalFormatting>
  <conditionalFormatting sqref="O246">
    <cfRule type="cellIs" dxfId="2" priority="8" operator="between">
      <formula>-2</formula>
      <formula>2</formula>
    </cfRule>
  </conditionalFormatting>
  <conditionalFormatting sqref="O248">
    <cfRule type="cellIs" dxfId="1" priority="6" operator="between">
      <formula>-2</formula>
      <formula>2</formula>
    </cfRule>
  </conditionalFormatting>
  <conditionalFormatting sqref="O256">
    <cfRule type="cellIs" dxfId="0" priority="4" operator="between">
      <formula>-2</formula>
      <formula>2</formula>
    </cfRule>
  </conditionalFormatting>
  <dataValidations count="1">
    <dataValidation type="list" allowBlank="1" showInputMessage="1" showErrorMessage="1" sqref="O5" xr:uid="{8001E695-8BE2-4547-85FE-BA6F2F9B222A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48" fitToHeight="0" orientation="portrait" r:id="rId1"/>
  <ignoredErrors>
    <ignoredError sqref="F178:F18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E08-CE41-4145-AD28-C2ADAAE0A7B0}">
  <sheetPr>
    <tabColor theme="2" tint="-0.249977111117893"/>
  </sheetPr>
  <dimension ref="A1:BD142"/>
  <sheetViews>
    <sheetView tabSelected="1" topLeftCell="AR12" zoomScaleNormal="100" workbookViewId="0">
      <selection activeCell="AV28" sqref="AV28"/>
    </sheetView>
  </sheetViews>
  <sheetFormatPr defaultRowHeight="14.4" x14ac:dyDescent="0.3"/>
  <cols>
    <col min="1" max="1" width="20.109375" customWidth="1"/>
    <col min="2" max="3" width="20.33203125" customWidth="1"/>
    <col min="4" max="6" width="19.5546875" customWidth="1"/>
    <col min="7" max="7" width="15.33203125" customWidth="1"/>
    <col min="8" max="8" width="13.88671875" customWidth="1"/>
    <col min="9" max="9" width="3.6640625" customWidth="1"/>
    <col min="10" max="11" width="20" customWidth="1"/>
    <col min="12" max="14" width="18.6640625" customWidth="1"/>
    <col min="15" max="15" width="20.109375" customWidth="1"/>
    <col min="16" max="16" width="13.88671875" customWidth="1"/>
    <col min="17" max="17" width="12.6640625" customWidth="1"/>
    <col min="18" max="18" width="47.6640625" customWidth="1"/>
    <col min="19" max="21" width="21.6640625" customWidth="1"/>
    <col min="22" max="23" width="19.44140625" customWidth="1"/>
    <col min="24" max="24" width="20.44140625" customWidth="1"/>
    <col min="25" max="25" width="7.33203125" customWidth="1"/>
    <col min="26" max="26" width="19.6640625" bestFit="1" customWidth="1"/>
    <col min="27" max="30" width="19.33203125" customWidth="1"/>
    <col min="31" max="31" width="20.88671875" customWidth="1"/>
    <col min="32" max="32" width="12.6640625" customWidth="1"/>
    <col min="33" max="33" width="37" bestFit="1" customWidth="1"/>
    <col min="34" max="34" width="13.6640625" hidden="1" customWidth="1"/>
    <col min="35" max="36" width="20.109375" customWidth="1"/>
    <col min="37" max="39" width="18.6640625" customWidth="1"/>
    <col min="40" max="40" width="18.88671875" customWidth="1"/>
    <col min="41" max="41" width="3.6640625" customWidth="1"/>
    <col min="42" max="42" width="20.88671875" customWidth="1"/>
    <col min="43" max="46" width="20" customWidth="1"/>
    <col min="47" max="47" width="20.6640625" customWidth="1"/>
    <col min="48" max="48" width="12.6640625" customWidth="1"/>
    <col min="49" max="49" width="37.6640625" bestFit="1" customWidth="1"/>
    <col min="50" max="53" width="17.44140625" customWidth="1"/>
    <col min="54" max="54" width="16.33203125" hidden="1" customWidth="1"/>
    <col min="55" max="55" width="13.109375" hidden="1" customWidth="1"/>
    <col min="56" max="56" width="97.109375" hidden="1" customWidth="1"/>
  </cols>
  <sheetData>
    <row r="1" spans="1:56" ht="15" thickBot="1" x14ac:dyDescent="0.35">
      <c r="AZ1" s="221"/>
      <c r="BA1" s="221"/>
    </row>
    <row r="2" spans="1:56" ht="15" thickBot="1" x14ac:dyDescent="0.35">
      <c r="B2" s="368" t="s">
        <v>375</v>
      </c>
      <c r="C2" s="368"/>
      <c r="D2" s="368"/>
      <c r="E2" s="368"/>
      <c r="F2" s="368"/>
      <c r="G2" s="368"/>
      <c r="H2" s="368"/>
      <c r="I2" s="387"/>
      <c r="J2" s="368" t="s">
        <v>376</v>
      </c>
      <c r="K2" s="368"/>
      <c r="L2" s="368"/>
      <c r="M2" s="368"/>
      <c r="N2" s="368"/>
      <c r="O2" s="368"/>
      <c r="P2" s="368"/>
      <c r="Q2" s="387"/>
      <c r="R2" s="381"/>
      <c r="S2" s="385" t="s">
        <v>375</v>
      </c>
      <c r="T2" s="386"/>
      <c r="U2" s="386"/>
      <c r="V2" s="386"/>
      <c r="W2" s="386"/>
      <c r="X2" s="386"/>
      <c r="Z2" s="386" t="s">
        <v>376</v>
      </c>
      <c r="AA2" s="386"/>
      <c r="AB2" s="386"/>
      <c r="AC2" s="386"/>
      <c r="AD2" s="386"/>
      <c r="AE2" s="386"/>
      <c r="AI2" s="385" t="s">
        <v>375</v>
      </c>
      <c r="AJ2" s="386"/>
      <c r="AK2" s="386"/>
      <c r="AL2" s="386"/>
      <c r="AM2" s="386"/>
      <c r="AN2" s="386"/>
      <c r="AP2" s="386" t="s">
        <v>376</v>
      </c>
      <c r="AQ2" s="386"/>
      <c r="AR2" s="386"/>
      <c r="AS2" s="386"/>
      <c r="AT2" s="386"/>
      <c r="AU2" s="386"/>
      <c r="AW2" s="402" t="s">
        <v>363</v>
      </c>
      <c r="AX2" s="402" t="s">
        <v>375</v>
      </c>
      <c r="AY2" s="402" t="s">
        <v>426</v>
      </c>
      <c r="AZ2" s="402" t="s">
        <v>378</v>
      </c>
      <c r="BB2" s="402" t="s">
        <v>376</v>
      </c>
      <c r="BC2" s="402" t="s">
        <v>378</v>
      </c>
    </row>
    <row r="3" spans="1:56" x14ac:dyDescent="0.3">
      <c r="A3" s="369" t="s">
        <v>1</v>
      </c>
      <c r="B3" s="370" t="s">
        <v>403</v>
      </c>
      <c r="C3" s="370" t="s">
        <v>404</v>
      </c>
      <c r="D3" s="370" t="s">
        <v>405</v>
      </c>
      <c r="E3" s="370" t="s">
        <v>406</v>
      </c>
      <c r="F3" s="370" t="s">
        <v>412</v>
      </c>
      <c r="G3" s="370" t="s">
        <v>407</v>
      </c>
      <c r="H3" s="379" t="s">
        <v>6</v>
      </c>
      <c r="I3" s="372"/>
      <c r="J3" s="371" t="s">
        <v>403</v>
      </c>
      <c r="K3" s="371" t="s">
        <v>404</v>
      </c>
      <c r="L3" s="371" t="s">
        <v>405</v>
      </c>
      <c r="M3" s="371" t="s">
        <v>406</v>
      </c>
      <c r="N3" s="443" t="s">
        <v>412</v>
      </c>
      <c r="O3" s="443" t="s">
        <v>407</v>
      </c>
      <c r="P3" s="382" t="s">
        <v>6</v>
      </c>
      <c r="Q3" s="372"/>
      <c r="R3" s="383" t="s">
        <v>377</v>
      </c>
      <c r="S3" s="384" t="s">
        <v>403</v>
      </c>
      <c r="T3" s="384" t="s">
        <v>404</v>
      </c>
      <c r="U3" s="384" t="s">
        <v>405</v>
      </c>
      <c r="V3" s="384" t="s">
        <v>406</v>
      </c>
      <c r="W3" s="384" t="s">
        <v>412</v>
      </c>
      <c r="X3" s="384" t="s">
        <v>407</v>
      </c>
      <c r="Z3" s="384" t="s">
        <v>403</v>
      </c>
      <c r="AA3" s="384" t="s">
        <v>404</v>
      </c>
      <c r="AB3" s="384" t="s">
        <v>405</v>
      </c>
      <c r="AC3" s="384" t="s">
        <v>406</v>
      </c>
      <c r="AD3" s="384" t="s">
        <v>412</v>
      </c>
      <c r="AE3" s="384" t="s">
        <v>407</v>
      </c>
      <c r="AG3" s="291" t="s">
        <v>165</v>
      </c>
      <c r="AH3" s="295" t="s">
        <v>197</v>
      </c>
      <c r="AI3" s="384" t="s">
        <v>403</v>
      </c>
      <c r="AJ3" s="384" t="s">
        <v>404</v>
      </c>
      <c r="AK3" s="384" t="s">
        <v>405</v>
      </c>
      <c r="AL3" s="384" t="s">
        <v>406</v>
      </c>
      <c r="AM3" s="384" t="s">
        <v>412</v>
      </c>
      <c r="AN3" s="384" t="s">
        <v>407</v>
      </c>
      <c r="AP3" s="384" t="s">
        <v>403</v>
      </c>
      <c r="AQ3" s="384" t="s">
        <v>404</v>
      </c>
      <c r="AR3" s="384" t="s">
        <v>405</v>
      </c>
      <c r="AS3" s="384" t="s">
        <v>406</v>
      </c>
      <c r="AT3" s="384" t="s">
        <v>416</v>
      </c>
      <c r="AU3" s="384" t="s">
        <v>407</v>
      </c>
      <c r="AW3" s="403" t="s">
        <v>13</v>
      </c>
      <c r="AX3" s="404">
        <v>773966.86603722558</v>
      </c>
      <c r="AY3" s="404">
        <v>773966.86603722558</v>
      </c>
      <c r="AZ3" s="404">
        <f>AX3-AY3</f>
        <v>0</v>
      </c>
      <c r="BA3" s="434"/>
      <c r="BB3" s="345">
        <v>758843.04477313638</v>
      </c>
      <c r="BC3" s="404">
        <f t="shared" ref="BC3:BC9" si="0">AX3-BB3</f>
        <v>15123.821264089202</v>
      </c>
      <c r="BD3" s="434" t="s">
        <v>421</v>
      </c>
    </row>
    <row r="4" spans="1:56" x14ac:dyDescent="0.3">
      <c r="H4" s="19"/>
      <c r="I4" s="19"/>
      <c r="J4" s="19"/>
      <c r="K4" s="19"/>
      <c r="L4" s="19"/>
      <c r="M4" s="19"/>
      <c r="N4" s="19"/>
      <c r="O4" s="19"/>
      <c r="P4" s="19"/>
      <c r="Q4" s="19"/>
      <c r="R4" s="147"/>
      <c r="S4" s="148"/>
      <c r="T4" s="149"/>
      <c r="U4" s="149"/>
      <c r="V4" s="149"/>
      <c r="W4" s="149"/>
      <c r="X4" s="149"/>
      <c r="Z4" s="149"/>
      <c r="AA4" s="149"/>
      <c r="AB4" s="149"/>
      <c r="AC4" s="149"/>
      <c r="AD4" s="149"/>
      <c r="AE4" s="149"/>
      <c r="AG4" s="147"/>
      <c r="AH4" s="275"/>
      <c r="AI4" s="275"/>
      <c r="AJ4" s="275"/>
      <c r="AK4" s="275"/>
      <c r="AL4" s="275"/>
      <c r="AM4" s="275"/>
      <c r="AN4" s="322"/>
      <c r="AP4" s="392"/>
      <c r="AQ4" s="275"/>
      <c r="AR4" s="275"/>
      <c r="AS4" s="275"/>
      <c r="AT4" s="275"/>
      <c r="AU4" s="322"/>
      <c r="AW4" s="405" t="s">
        <v>15</v>
      </c>
      <c r="AX4" s="406">
        <v>420156.48756440001</v>
      </c>
      <c r="AY4" s="406">
        <v>420156.48756440001</v>
      </c>
      <c r="AZ4" s="406">
        <f>AX4-AY4</f>
        <v>0</v>
      </c>
      <c r="BA4" s="434"/>
      <c r="BB4" s="350">
        <v>436807.83117310074</v>
      </c>
      <c r="BC4" s="406">
        <f t="shared" si="0"/>
        <v>-16651.343608700729</v>
      </c>
      <c r="BD4" s="434" t="s">
        <v>422</v>
      </c>
    </row>
    <row r="5" spans="1:56" x14ac:dyDescent="0.3">
      <c r="A5" s="45" t="s">
        <v>160</v>
      </c>
      <c r="B5" s="4"/>
      <c r="C5" s="4"/>
      <c r="D5" s="4"/>
      <c r="E5" s="4"/>
      <c r="F5" s="4"/>
      <c r="G5" s="4"/>
      <c r="H5" s="19"/>
      <c r="I5" s="19"/>
      <c r="J5" s="4"/>
      <c r="K5" s="4"/>
      <c r="L5" s="4"/>
      <c r="M5" s="4"/>
      <c r="N5" s="4"/>
      <c r="O5" s="4"/>
      <c r="P5" s="19"/>
      <c r="Q5" s="19"/>
      <c r="R5" s="151" t="s">
        <v>13</v>
      </c>
      <c r="S5" s="159"/>
      <c r="T5" s="257"/>
      <c r="U5" s="257"/>
      <c r="V5" s="257"/>
      <c r="W5" s="257"/>
      <c r="X5" s="257"/>
      <c r="Z5" s="257"/>
      <c r="AA5" s="257"/>
      <c r="AB5" s="257"/>
      <c r="AC5" s="257"/>
      <c r="AD5" s="257"/>
      <c r="AE5" s="257"/>
      <c r="AG5" s="151" t="s">
        <v>13</v>
      </c>
      <c r="AH5" s="296"/>
      <c r="AI5" s="296"/>
      <c r="AJ5" s="296"/>
      <c r="AK5" s="296"/>
      <c r="AL5" s="296"/>
      <c r="AM5" s="296"/>
      <c r="AN5" s="318"/>
      <c r="AP5" s="393"/>
      <c r="AQ5" s="296"/>
      <c r="AR5" s="296"/>
      <c r="AS5" s="296"/>
      <c r="AT5" s="296"/>
      <c r="AU5" s="318"/>
      <c r="AW5" s="405" t="s">
        <v>362</v>
      </c>
      <c r="AX5" s="406">
        <v>27594.583182399998</v>
      </c>
      <c r="AY5" s="406">
        <v>27594.583182399998</v>
      </c>
      <c r="AZ5" s="406">
        <f t="shared" ref="AZ5:AZ33" si="1">AX5-AY5</f>
        <v>0</v>
      </c>
      <c r="BA5" s="331"/>
      <c r="BB5" s="350">
        <v>27740.166865515115</v>
      </c>
      <c r="BC5" s="406">
        <f t="shared" si="0"/>
        <v>-145.58368311511731</v>
      </c>
      <c r="BD5" s="331"/>
    </row>
    <row r="6" spans="1:56" x14ac:dyDescent="0.3">
      <c r="A6" s="146" t="s">
        <v>6</v>
      </c>
      <c r="B6" s="143">
        <f>Tabelas_Dados_Op!B4</f>
        <v>10</v>
      </c>
      <c r="C6" s="143">
        <f>Tabelas_Dados_Op!C4</f>
        <v>1</v>
      </c>
      <c r="D6" s="143">
        <f>Tabelas_Dados_Op!D4</f>
        <v>11</v>
      </c>
      <c r="E6" s="143">
        <f>Tabelas_Dados_Op!E4</f>
        <v>22</v>
      </c>
      <c r="F6" s="143">
        <f>Tabelas_Dados_Op!F4</f>
        <v>0</v>
      </c>
      <c r="G6" s="143">
        <f>Tabelas_Dados_Op!G4</f>
        <v>5</v>
      </c>
      <c r="H6" s="462">
        <f>SUM(B6:G6)</f>
        <v>49</v>
      </c>
      <c r="I6" s="72"/>
      <c r="J6" s="261">
        <v>10</v>
      </c>
      <c r="K6" s="261">
        <v>1</v>
      </c>
      <c r="L6" s="261">
        <v>10</v>
      </c>
      <c r="M6" s="261">
        <v>22</v>
      </c>
      <c r="N6" s="444">
        <v>0</v>
      </c>
      <c r="O6" s="444">
        <v>6</v>
      </c>
      <c r="P6" s="462">
        <f>SUM(J6:O6)</f>
        <v>49</v>
      </c>
      <c r="Q6" s="72"/>
      <c r="R6" s="139" t="s">
        <v>166</v>
      </c>
      <c r="S6" s="161">
        <f>Tabelas_Coeficientes!B4</f>
        <v>0.26</v>
      </c>
      <c r="T6" s="454">
        <f>Tabelas_Coeficientes!C4</f>
        <v>0.33800000000000002</v>
      </c>
      <c r="U6" s="161">
        <f>Tabelas_Coeficientes!D4</f>
        <v>0.35</v>
      </c>
      <c r="V6" s="161">
        <f>Tabelas_Coeficientes!E4</f>
        <v>0.45500000000000002</v>
      </c>
      <c r="W6" s="454">
        <f>Tabelas_Coeficientes!F4</f>
        <v>0.41</v>
      </c>
      <c r="X6" s="161">
        <f>Tabelas_Coeficientes!G4</f>
        <v>0.52</v>
      </c>
      <c r="Z6" s="258">
        <v>0.26</v>
      </c>
      <c r="AA6" s="459">
        <v>0.33</v>
      </c>
      <c r="AB6" s="258">
        <v>0.35</v>
      </c>
      <c r="AC6" s="258">
        <v>0.45500000000000002</v>
      </c>
      <c r="AD6" s="459">
        <v>0.4</v>
      </c>
      <c r="AE6" s="258">
        <v>0.52</v>
      </c>
      <c r="AG6" s="292" t="s">
        <v>199</v>
      </c>
      <c r="AH6" s="297" t="s">
        <v>200</v>
      </c>
      <c r="AI6" s="482">
        <f>Tabelas_Prc_Insumos!D5</f>
        <v>4.4420500000000001</v>
      </c>
      <c r="AJ6" s="483"/>
      <c r="AK6" s="483"/>
      <c r="AL6" s="483"/>
      <c r="AM6" s="483"/>
      <c r="AN6" s="484"/>
      <c r="AO6" s="145"/>
      <c r="AP6" s="474">
        <v>4.45</v>
      </c>
      <c r="AQ6" s="475"/>
      <c r="AR6" s="476"/>
      <c r="AS6" s="475"/>
      <c r="AT6" s="475"/>
      <c r="AU6" s="477"/>
      <c r="AW6" s="405" t="s">
        <v>364</v>
      </c>
      <c r="AX6" s="406">
        <v>8550.5895871999983</v>
      </c>
      <c r="AY6" s="406">
        <v>8550.5895871999983</v>
      </c>
      <c r="AZ6" s="406">
        <f t="shared" si="1"/>
        <v>0</v>
      </c>
      <c r="BA6" s="331"/>
      <c r="BB6" s="350">
        <v>8875.5738228924056</v>
      </c>
      <c r="BC6" s="406">
        <f t="shared" si="0"/>
        <v>-324.98423569240731</v>
      </c>
      <c r="BD6" s="331"/>
    </row>
    <row r="7" spans="1:56" x14ac:dyDescent="0.3">
      <c r="A7" s="142" t="s">
        <v>161</v>
      </c>
      <c r="B7" s="143">
        <f>Tabelas_Dados_Op!B5</f>
        <v>8</v>
      </c>
      <c r="C7" s="143">
        <f>Tabelas_Dados_Op!C5</f>
        <v>1</v>
      </c>
      <c r="D7" s="143">
        <f>Tabelas_Dados_Op!D5</f>
        <v>7</v>
      </c>
      <c r="E7" s="143">
        <f>Tabelas_Dados_Op!E5</f>
        <v>22</v>
      </c>
      <c r="F7" s="143">
        <f>Tabelas_Dados_Op!F5</f>
        <v>0</v>
      </c>
      <c r="G7" s="143">
        <f>Tabelas_Dados_Op!G5</f>
        <v>6</v>
      </c>
      <c r="H7" s="436">
        <f>SUM(B7:G7)</f>
        <v>44</v>
      </c>
      <c r="I7" s="72"/>
      <c r="J7" s="261">
        <v>8</v>
      </c>
      <c r="K7" s="261">
        <v>1</v>
      </c>
      <c r="L7" s="261">
        <v>7</v>
      </c>
      <c r="M7" s="261">
        <v>22</v>
      </c>
      <c r="N7" s="444">
        <v>0</v>
      </c>
      <c r="O7" s="444">
        <v>6</v>
      </c>
      <c r="P7" s="436">
        <f>SUM(J7:O7)</f>
        <v>44</v>
      </c>
      <c r="Q7" s="72"/>
      <c r="R7" s="142" t="s">
        <v>167</v>
      </c>
      <c r="S7" s="507">
        <f>Tabelas_Coeficientes!B5</f>
        <v>2.5999999999999999E-2</v>
      </c>
      <c r="T7" s="508"/>
      <c r="U7" s="508"/>
      <c r="V7" s="508"/>
      <c r="W7" s="508"/>
      <c r="X7" s="508"/>
      <c r="Z7" s="507">
        <v>2.5999999999999999E-2</v>
      </c>
      <c r="AA7" s="508"/>
      <c r="AB7" s="508"/>
      <c r="AC7" s="508"/>
      <c r="AD7" s="508"/>
      <c r="AE7" s="508"/>
      <c r="AG7" s="293" t="s">
        <v>22</v>
      </c>
      <c r="AH7" s="298" t="s">
        <v>200</v>
      </c>
      <c r="AI7" s="465">
        <f>Tabelas_Prc_Insumos!D6</f>
        <v>2.2599999999999998</v>
      </c>
      <c r="AJ7" s="465"/>
      <c r="AK7" s="465"/>
      <c r="AL7" s="465"/>
      <c r="AM7" s="465"/>
      <c r="AN7" s="466"/>
      <c r="AO7" s="446"/>
      <c r="AP7" s="467">
        <v>2.2599999999999998</v>
      </c>
      <c r="AQ7" s="465"/>
      <c r="AR7" s="465"/>
      <c r="AS7" s="465"/>
      <c r="AT7" s="465"/>
      <c r="AU7" s="466"/>
      <c r="AW7" s="405" t="s">
        <v>25</v>
      </c>
      <c r="AX7" s="406">
        <v>43126.841619892257</v>
      </c>
      <c r="AY7" s="406">
        <v>43126.841619892257</v>
      </c>
      <c r="AZ7" s="406">
        <f t="shared" si="1"/>
        <v>0</v>
      </c>
      <c r="BA7" s="331"/>
      <c r="BB7" s="350">
        <v>35727.80624496159</v>
      </c>
      <c r="BC7" s="406">
        <f t="shared" si="0"/>
        <v>7399.0353749306669</v>
      </c>
      <c r="BD7" s="331" t="s">
        <v>408</v>
      </c>
    </row>
    <row r="8" spans="1:56" x14ac:dyDescent="0.3">
      <c r="A8" s="147"/>
      <c r="B8" s="148"/>
      <c r="C8" s="149"/>
      <c r="D8" s="149"/>
      <c r="E8" s="149"/>
      <c r="F8" s="149"/>
      <c r="G8" s="149"/>
      <c r="H8" s="437"/>
      <c r="I8" s="19"/>
      <c r="J8" s="149"/>
      <c r="K8" s="149"/>
      <c r="L8" s="149"/>
      <c r="M8" s="149"/>
      <c r="N8" s="4"/>
      <c r="O8" s="4"/>
      <c r="P8" s="437"/>
      <c r="Q8" s="19"/>
      <c r="R8" s="146" t="s">
        <v>168</v>
      </c>
      <c r="S8" s="507">
        <f>Tabelas_Coeficientes!B6</f>
        <v>0.04</v>
      </c>
      <c r="T8" s="508"/>
      <c r="U8" s="508"/>
      <c r="V8" s="508"/>
      <c r="W8" s="508"/>
      <c r="X8" s="508"/>
      <c r="Z8" s="507">
        <v>0.04</v>
      </c>
      <c r="AA8" s="508"/>
      <c r="AB8" s="508"/>
      <c r="AC8" s="508"/>
      <c r="AD8" s="508"/>
      <c r="AE8" s="508"/>
      <c r="AG8" s="293" t="s">
        <v>318</v>
      </c>
      <c r="AH8" s="298" t="s">
        <v>201</v>
      </c>
      <c r="AI8" s="447">
        <f>Tabelas_Prc_Insumos!D7</f>
        <v>1224.53</v>
      </c>
      <c r="AJ8" s="447">
        <f>Tabelas_Prc_Insumos!E7</f>
        <v>1224.53</v>
      </c>
      <c r="AK8" s="447" t="str">
        <f>Tabelas_Prc_Insumos!F7</f>
        <v>-</v>
      </c>
      <c r="AL8" s="447" t="str">
        <f>Tabelas_Prc_Insumos!G7</f>
        <v>-</v>
      </c>
      <c r="AM8" s="447" t="str">
        <f>Tabelas_Prc_Insumos!H7</f>
        <v>-</v>
      </c>
      <c r="AN8" s="447" t="str">
        <f>Tabelas_Prc_Insumos!I7</f>
        <v>-</v>
      </c>
      <c r="AP8" s="449">
        <v>1195.2</v>
      </c>
      <c r="AQ8" s="449">
        <v>1195.2</v>
      </c>
      <c r="AR8" s="448" t="s">
        <v>314</v>
      </c>
      <c r="AS8" s="448" t="s">
        <v>314</v>
      </c>
      <c r="AT8" s="448" t="s">
        <v>314</v>
      </c>
      <c r="AU8" s="448" t="s">
        <v>314</v>
      </c>
      <c r="AW8" s="405" t="s">
        <v>35</v>
      </c>
      <c r="AX8" s="406">
        <v>237274.15399999998</v>
      </c>
      <c r="AY8" s="406">
        <v>237274.15399999998</v>
      </c>
      <c r="AZ8" s="406">
        <f t="shared" si="1"/>
        <v>0</v>
      </c>
      <c r="BA8" s="331"/>
      <c r="BB8" s="350">
        <v>215800</v>
      </c>
      <c r="BC8" s="406">
        <f t="shared" si="0"/>
        <v>21474.15399999998</v>
      </c>
      <c r="BD8" s="331" t="s">
        <v>419</v>
      </c>
    </row>
    <row r="9" spans="1:56" x14ac:dyDescent="0.3">
      <c r="A9" s="151" t="s">
        <v>163</v>
      </c>
      <c r="B9" s="152">
        <f>Tabelas_Dados_Op!B8</f>
        <v>48761</v>
      </c>
      <c r="C9" s="152">
        <f>Tabelas_Dados_Op!C8</f>
        <v>4876</v>
      </c>
      <c r="D9" s="152">
        <f>Tabelas_Dados_Op!D8</f>
        <v>53637</v>
      </c>
      <c r="E9" s="152">
        <f>Tabelas_Dados_Op!E8</f>
        <v>107274</v>
      </c>
      <c r="F9" s="152">
        <f>Tabelas_Dados_Op!F8</f>
        <v>0</v>
      </c>
      <c r="G9" s="152">
        <f>Tabelas_Dados_Op!G8</f>
        <v>24380</v>
      </c>
      <c r="H9" s="438">
        <f>SUM(B9:G9)</f>
        <v>238928</v>
      </c>
      <c r="I9" s="39"/>
      <c r="J9" s="152">
        <v>55099.132431098056</v>
      </c>
      <c r="K9" s="152">
        <v>7711.0007182174922</v>
      </c>
      <c r="L9" s="152">
        <v>13812.101728262824</v>
      </c>
      <c r="M9" s="152">
        <v>129358.89956548394</v>
      </c>
      <c r="N9" s="152">
        <v>0</v>
      </c>
      <c r="O9" s="152">
        <v>33832.193232259058</v>
      </c>
      <c r="P9" s="464">
        <f>SUM(J9:O9)</f>
        <v>239813.32767532137</v>
      </c>
      <c r="R9" s="146" t="s">
        <v>28</v>
      </c>
      <c r="S9" s="280">
        <f>Tabelas_Coeficientes!B7</f>
        <v>6</v>
      </c>
      <c r="T9" s="280">
        <f>Tabelas_Coeficientes!C7</f>
        <v>6</v>
      </c>
      <c r="U9" s="280">
        <f>Tabelas_Coeficientes!D7</f>
        <v>6</v>
      </c>
      <c r="V9" s="280">
        <f>Tabelas_Coeficientes!E7</f>
        <v>6</v>
      </c>
      <c r="W9" s="280">
        <f>Tabelas_Coeficientes!F7</f>
        <v>6</v>
      </c>
      <c r="X9" s="280">
        <f>Tabelas_Coeficientes!G7</f>
        <v>6</v>
      </c>
      <c r="Z9" s="284">
        <v>6</v>
      </c>
      <c r="AA9" s="284">
        <v>6</v>
      </c>
      <c r="AB9" s="284">
        <v>6</v>
      </c>
      <c r="AC9" s="284">
        <v>6</v>
      </c>
      <c r="AD9" s="284">
        <v>6</v>
      </c>
      <c r="AE9" s="284">
        <v>6</v>
      </c>
      <c r="AG9" s="293" t="s">
        <v>320</v>
      </c>
      <c r="AH9" s="298" t="s">
        <v>201</v>
      </c>
      <c r="AI9" s="448" t="str">
        <f>Tabelas_Prc_Insumos!D8</f>
        <v>-</v>
      </c>
      <c r="AJ9" s="448" t="str">
        <f>Tabelas_Prc_Insumos!E8</f>
        <v>-</v>
      </c>
      <c r="AK9" s="447">
        <f>Tabelas_Prc_Insumos!F8</f>
        <v>1731.53</v>
      </c>
      <c r="AL9" s="447">
        <f>Tabelas_Prc_Insumos!G8</f>
        <v>1731.53</v>
      </c>
      <c r="AM9" s="447">
        <f>Tabelas_Prc_Insumos!H8</f>
        <v>1731.53</v>
      </c>
      <c r="AN9" s="447">
        <f>Tabelas_Prc_Insumos!I8</f>
        <v>1731.53</v>
      </c>
      <c r="AP9" s="450" t="s">
        <v>314</v>
      </c>
      <c r="AQ9" s="447" t="s">
        <v>314</v>
      </c>
      <c r="AR9" s="447">
        <v>1690.05</v>
      </c>
      <c r="AS9" s="447">
        <v>1690.05</v>
      </c>
      <c r="AT9" s="447">
        <v>1690.05</v>
      </c>
      <c r="AU9" s="447">
        <v>1690.05</v>
      </c>
      <c r="AW9" s="405" t="s">
        <v>38</v>
      </c>
      <c r="AX9" s="406">
        <v>37264.210083333339</v>
      </c>
      <c r="AY9" s="406">
        <v>37264.210083333339</v>
      </c>
      <c r="AZ9" s="406">
        <f t="shared" si="1"/>
        <v>0</v>
      </c>
      <c r="BA9" s="331"/>
      <c r="BB9" s="350">
        <v>33891.666666666664</v>
      </c>
      <c r="BC9" s="406">
        <f t="shared" si="0"/>
        <v>3372.5434166666746</v>
      </c>
      <c r="BD9" s="331"/>
    </row>
    <row r="10" spans="1:56" x14ac:dyDescent="0.3">
      <c r="A10" s="147"/>
      <c r="B10" s="266"/>
      <c r="C10" s="155"/>
      <c r="D10" s="155"/>
      <c r="E10" s="155"/>
      <c r="F10" s="155"/>
      <c r="G10" s="155"/>
      <c r="H10" s="380"/>
      <c r="I10" s="65"/>
      <c r="J10" s="155"/>
      <c r="K10" s="155"/>
      <c r="L10" s="155"/>
      <c r="M10" s="155"/>
      <c r="N10" s="34"/>
      <c r="O10" s="34"/>
      <c r="P10" s="380"/>
      <c r="Q10" s="65"/>
      <c r="R10" s="142" t="s">
        <v>29</v>
      </c>
      <c r="S10" s="280">
        <f>Tabelas_Coeficientes!B8</f>
        <v>3</v>
      </c>
      <c r="T10" s="280">
        <f>Tabelas_Coeficientes!C8</f>
        <v>3</v>
      </c>
      <c r="U10" s="280">
        <f>Tabelas_Coeficientes!D8</f>
        <v>3</v>
      </c>
      <c r="V10" s="280">
        <f>Tabelas_Coeficientes!E8</f>
        <v>3</v>
      </c>
      <c r="W10" s="280">
        <f>Tabelas_Coeficientes!F8</f>
        <v>3</v>
      </c>
      <c r="X10" s="280">
        <f>Tabelas_Coeficientes!G8</f>
        <v>3</v>
      </c>
      <c r="Z10" s="284">
        <v>3</v>
      </c>
      <c r="AA10" s="284">
        <v>3</v>
      </c>
      <c r="AB10" s="284">
        <v>3</v>
      </c>
      <c r="AC10" s="284">
        <v>3</v>
      </c>
      <c r="AD10" s="284">
        <v>3</v>
      </c>
      <c r="AE10" s="284">
        <v>3</v>
      </c>
      <c r="AG10" s="293" t="s">
        <v>319</v>
      </c>
      <c r="AH10" s="298" t="s">
        <v>201</v>
      </c>
      <c r="AI10" s="298" t="str">
        <f>Tabelas_Prc_Insumos!D9</f>
        <v>-</v>
      </c>
      <c r="AJ10" s="298" t="str">
        <f>Tabelas_Prc_Insumos!E9</f>
        <v>-</v>
      </c>
      <c r="AK10" s="298" t="str">
        <f>Tabelas_Prc_Insumos!F9</f>
        <v>-</v>
      </c>
      <c r="AL10" s="298" t="str">
        <f>Tabelas_Prc_Insumos!G9</f>
        <v>-</v>
      </c>
      <c r="AM10" s="298" t="str">
        <f>Tabelas_Prc_Insumos!H9</f>
        <v>-</v>
      </c>
      <c r="AN10" s="298" t="str">
        <f>Tabelas_Prc_Insumos!I9</f>
        <v>-</v>
      </c>
      <c r="AP10" s="394" t="s">
        <v>314</v>
      </c>
      <c r="AQ10" s="298" t="s">
        <v>314</v>
      </c>
      <c r="AR10" s="298" t="s">
        <v>314</v>
      </c>
      <c r="AS10" s="298" t="s">
        <v>314</v>
      </c>
      <c r="AT10" s="298" t="s">
        <v>314</v>
      </c>
      <c r="AU10" s="298" t="s">
        <v>314</v>
      </c>
      <c r="AW10" s="403" t="s">
        <v>146</v>
      </c>
      <c r="AX10" s="404">
        <v>1524292.2492499473</v>
      </c>
      <c r="AY10" s="404">
        <v>1766751.4133391762</v>
      </c>
      <c r="AZ10" s="404">
        <f t="shared" si="1"/>
        <v>-242459.16408922896</v>
      </c>
      <c r="BB10" s="345">
        <v>1879829.5139210674</v>
      </c>
      <c r="BC10" s="404">
        <f t="shared" ref="BC10:BC30" si="2">AX10-BB10</f>
        <v>-355537.26467112009</v>
      </c>
    </row>
    <row r="11" spans="1:56" x14ac:dyDescent="0.3">
      <c r="A11" s="151" t="s">
        <v>164</v>
      </c>
      <c r="B11" s="522"/>
      <c r="C11" s="522"/>
      <c r="D11" s="522"/>
      <c r="E11" s="522"/>
      <c r="F11" s="522"/>
      <c r="G11" s="522"/>
      <c r="H11" s="438">
        <f>Tabelas_Dados_Op!I10</f>
        <v>156909</v>
      </c>
      <c r="I11" s="39"/>
      <c r="J11" s="522"/>
      <c r="K11" s="522"/>
      <c r="L11" s="522"/>
      <c r="M11" s="522"/>
      <c r="N11" s="153"/>
      <c r="O11" s="153"/>
      <c r="P11" s="464">
        <v>156117.1</v>
      </c>
      <c r="Q11" s="39"/>
      <c r="R11" s="146" t="s">
        <v>32</v>
      </c>
      <c r="S11" s="281">
        <f>Tabelas_Coeficientes!B9</f>
        <v>125000</v>
      </c>
      <c r="T11" s="281">
        <f>Tabelas_Coeficientes!C9</f>
        <v>125000</v>
      </c>
      <c r="U11" s="285">
        <f>Tabelas_Coeficientes!D9</f>
        <v>120000</v>
      </c>
      <c r="V11" s="285">
        <f>Tabelas_Coeficientes!E9</f>
        <v>120000</v>
      </c>
      <c r="W11" s="285">
        <f>Tabelas_Coeficientes!F9</f>
        <v>120000</v>
      </c>
      <c r="X11" s="285">
        <f>Tabelas_Coeficientes!G9</f>
        <v>120000</v>
      </c>
      <c r="Z11" s="285">
        <v>125000</v>
      </c>
      <c r="AA11" s="285">
        <v>125000</v>
      </c>
      <c r="AB11" s="285">
        <v>120000</v>
      </c>
      <c r="AC11" s="285">
        <v>120000</v>
      </c>
      <c r="AD11" s="285">
        <v>120000</v>
      </c>
      <c r="AE11" s="285">
        <v>120000</v>
      </c>
      <c r="AG11" s="293" t="s">
        <v>321</v>
      </c>
      <c r="AH11" s="298" t="s">
        <v>201</v>
      </c>
      <c r="AI11" s="448">
        <f>Tabelas_Prc_Insumos!D10</f>
        <v>615.6</v>
      </c>
      <c r="AJ11" s="448">
        <f>Tabelas_Prc_Insumos!E10</f>
        <v>615.6</v>
      </c>
      <c r="AK11" s="448" t="str">
        <f>Tabelas_Prc_Insumos!F10</f>
        <v>-</v>
      </c>
      <c r="AL11" s="448" t="str">
        <f>Tabelas_Prc_Insumos!G10</f>
        <v>-</v>
      </c>
      <c r="AM11" s="448" t="str">
        <f>Tabelas_Prc_Insumos!H10</f>
        <v>-</v>
      </c>
      <c r="AN11" s="448" t="str">
        <f>Tabelas_Prc_Insumos!I10</f>
        <v>-</v>
      </c>
      <c r="AP11" s="450">
        <v>358.56</v>
      </c>
      <c r="AQ11" s="448">
        <v>358.56</v>
      </c>
      <c r="AR11" s="448" t="s">
        <v>314</v>
      </c>
      <c r="AS11" s="448" t="s">
        <v>314</v>
      </c>
      <c r="AT11" s="448" t="s">
        <v>314</v>
      </c>
      <c r="AU11" s="448" t="s">
        <v>314</v>
      </c>
      <c r="AW11" s="405" t="s">
        <v>40</v>
      </c>
      <c r="AX11" s="406">
        <v>429627.01729404659</v>
      </c>
      <c r="AY11" s="406">
        <v>429627.01729404659</v>
      </c>
      <c r="AZ11" s="406">
        <f t="shared" si="1"/>
        <v>0</v>
      </c>
      <c r="BA11" s="434"/>
      <c r="BB11" s="350">
        <v>507910.81892197457</v>
      </c>
      <c r="BC11" s="406">
        <f t="shared" si="2"/>
        <v>-78283.801627927984</v>
      </c>
      <c r="BD11" s="434" t="s">
        <v>423</v>
      </c>
    </row>
    <row r="12" spans="1:56" x14ac:dyDescent="0.3">
      <c r="A12" s="45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42" t="s">
        <v>169</v>
      </c>
      <c r="S12" s="286">
        <f>Tabelas_Coeficientes!B10</f>
        <v>0.89999999999999991</v>
      </c>
      <c r="T12" s="286">
        <f>Tabelas_Coeficientes!C10</f>
        <v>0.06</v>
      </c>
      <c r="U12" s="286">
        <f>Tabelas_Coeficientes!D10</f>
        <v>1.3199999999999998</v>
      </c>
      <c r="V12" s="286">
        <f>Tabelas_Coeficientes!E10</f>
        <v>1.3199999999999998</v>
      </c>
      <c r="W12" s="286">
        <f>Tabelas_Coeficientes!F10</f>
        <v>0</v>
      </c>
      <c r="X12" s="286">
        <f>Tabelas_Coeficientes!G10</f>
        <v>0.3</v>
      </c>
      <c r="Y12" s="446"/>
      <c r="Z12" s="286">
        <v>0.89999999999999991</v>
      </c>
      <c r="AA12" s="286">
        <v>0.06</v>
      </c>
      <c r="AB12" s="286">
        <v>1.08</v>
      </c>
      <c r="AC12" s="286">
        <v>1.3199999999999998</v>
      </c>
      <c r="AD12" s="286">
        <v>0.12</v>
      </c>
      <c r="AE12" s="286">
        <v>0.3</v>
      </c>
      <c r="AG12" s="293" t="s">
        <v>322</v>
      </c>
      <c r="AH12" s="298" t="s">
        <v>201</v>
      </c>
      <c r="AI12" s="448" t="str">
        <f>Tabelas_Prc_Insumos!D11</f>
        <v>-</v>
      </c>
      <c r="AJ12" s="448" t="str">
        <f>Tabelas_Prc_Insumos!E11</f>
        <v>-</v>
      </c>
      <c r="AK12" s="448">
        <f>Tabelas_Prc_Insumos!F11</f>
        <v>690</v>
      </c>
      <c r="AL12" s="448">
        <f>Tabelas_Prc_Insumos!G11</f>
        <v>690</v>
      </c>
      <c r="AM12" s="448">
        <f>Tabelas_Prc_Insumos!H11</f>
        <v>690</v>
      </c>
      <c r="AN12" s="448">
        <f>Tabelas_Prc_Insumos!I11</f>
        <v>690</v>
      </c>
      <c r="AP12" s="450" t="s">
        <v>314</v>
      </c>
      <c r="AQ12" s="448" t="s">
        <v>314</v>
      </c>
      <c r="AR12" s="448">
        <v>507.01499999999999</v>
      </c>
      <c r="AS12" s="448">
        <v>507.01499999999999</v>
      </c>
      <c r="AT12" s="448">
        <v>507.01499999999999</v>
      </c>
      <c r="AU12" s="448">
        <v>507.01499999999999</v>
      </c>
      <c r="AW12" s="407" t="s">
        <v>153</v>
      </c>
      <c r="AX12" s="408">
        <v>262387.19323636359</v>
      </c>
      <c r="AY12" s="408">
        <v>262387.19323636359</v>
      </c>
      <c r="AZ12" s="408">
        <f t="shared" si="1"/>
        <v>0</v>
      </c>
      <c r="BA12" s="331"/>
      <c r="BB12" s="355">
        <v>314851.36603030312</v>
      </c>
      <c r="BC12" s="408">
        <f t="shared" si="2"/>
        <v>-52464.172793939535</v>
      </c>
      <c r="BD12" s="331" t="s">
        <v>409</v>
      </c>
    </row>
    <row r="13" spans="1:56" x14ac:dyDescent="0.3">
      <c r="A13" s="45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42" t="s">
        <v>170</v>
      </c>
      <c r="S13" s="509">
        <f>Tabelas_Coeficientes!B11</f>
        <v>1.2500000000000001E-2</v>
      </c>
      <c r="T13" s="510"/>
      <c r="U13" s="510"/>
      <c r="V13" s="510"/>
      <c r="W13" s="510"/>
      <c r="X13" s="510"/>
      <c r="Z13" s="509">
        <v>1.2500000000000001E-2</v>
      </c>
      <c r="AA13" s="510"/>
      <c r="AB13" s="510"/>
      <c r="AC13" s="510"/>
      <c r="AD13" s="510"/>
      <c r="AE13" s="510"/>
      <c r="AG13" s="293" t="s">
        <v>323</v>
      </c>
      <c r="AH13" s="298" t="s">
        <v>201</v>
      </c>
      <c r="AI13" s="298" t="str">
        <f>Tabelas_Prc_Insumos!D12</f>
        <v>-</v>
      </c>
      <c r="AJ13" s="298" t="str">
        <f>Tabelas_Prc_Insumos!E12</f>
        <v>-</v>
      </c>
      <c r="AK13" s="298" t="str">
        <f>Tabelas_Prc_Insumos!F12</f>
        <v>-</v>
      </c>
      <c r="AL13" s="298" t="str">
        <f>Tabelas_Prc_Insumos!G12</f>
        <v>-</v>
      </c>
      <c r="AM13" s="298" t="str">
        <f>Tabelas_Prc_Insumos!H12</f>
        <v>-</v>
      </c>
      <c r="AN13" s="298" t="str">
        <f>Tabelas_Prc_Insumos!I12</f>
        <v>-</v>
      </c>
      <c r="AP13" s="450" t="s">
        <v>314</v>
      </c>
      <c r="AQ13" s="448" t="s">
        <v>314</v>
      </c>
      <c r="AR13" s="448"/>
      <c r="AS13" s="448"/>
      <c r="AT13" s="448"/>
      <c r="AU13" s="448" t="s">
        <v>314</v>
      </c>
      <c r="AW13" s="407" t="s">
        <v>154</v>
      </c>
      <c r="AX13" s="408">
        <v>167239.82405768297</v>
      </c>
      <c r="AY13" s="408">
        <v>167239.82405768297</v>
      </c>
      <c r="AZ13" s="408">
        <f t="shared" si="1"/>
        <v>0</v>
      </c>
      <c r="BA13" s="331"/>
      <c r="BB13" s="355">
        <v>193059.45289167145</v>
      </c>
      <c r="BC13" s="408">
        <f t="shared" si="2"/>
        <v>-25819.628833988478</v>
      </c>
      <c r="BD13" s="331" t="s">
        <v>415</v>
      </c>
    </row>
    <row r="14" spans="1:56" x14ac:dyDescent="0.3">
      <c r="A14" s="45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47"/>
      <c r="S14" s="267"/>
      <c r="T14" s="147"/>
      <c r="U14" s="147"/>
      <c r="V14" s="147"/>
      <c r="W14" s="147"/>
      <c r="X14" s="147"/>
      <c r="Z14" s="147"/>
      <c r="AA14" s="147"/>
      <c r="AB14" s="147"/>
      <c r="AC14" s="147"/>
      <c r="AD14" s="147"/>
      <c r="AE14" s="147"/>
      <c r="AG14" s="147"/>
      <c r="AH14" s="275"/>
      <c r="AI14" s="275"/>
      <c r="AJ14" s="275"/>
      <c r="AK14" s="275"/>
      <c r="AL14" s="275"/>
      <c r="AM14" s="275"/>
      <c r="AN14" s="275"/>
      <c r="AP14" s="392"/>
      <c r="AQ14" s="275"/>
      <c r="AR14" s="275"/>
      <c r="AS14" s="275"/>
      <c r="AT14" s="275"/>
      <c r="AU14" s="275"/>
      <c r="AW14" s="405" t="s">
        <v>365</v>
      </c>
      <c r="AX14" s="406">
        <v>917528.30778923398</v>
      </c>
      <c r="AY14" s="406">
        <v>1159987.4718784627</v>
      </c>
      <c r="AZ14" s="406">
        <f t="shared" si="1"/>
        <v>-242459.16408922873</v>
      </c>
      <c r="BA14" s="331" t="s">
        <v>427</v>
      </c>
      <c r="BB14" s="350">
        <v>1170638.4427657593</v>
      </c>
      <c r="BC14" s="406">
        <f t="shared" si="2"/>
        <v>-253110.13497652533</v>
      </c>
      <c r="BD14" s="434" t="s">
        <v>424</v>
      </c>
    </row>
    <row r="15" spans="1:56" x14ac:dyDescent="0.3">
      <c r="A15" s="45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151" t="s">
        <v>171</v>
      </c>
      <c r="S15" s="159"/>
      <c r="T15" s="257"/>
      <c r="U15" s="257"/>
      <c r="V15" s="257"/>
      <c r="W15" s="257"/>
      <c r="X15" s="257"/>
      <c r="Z15" s="257"/>
      <c r="AA15" s="257"/>
      <c r="AB15" s="257"/>
      <c r="AC15" s="257"/>
      <c r="AD15" s="257"/>
      <c r="AE15" s="257"/>
      <c r="AG15" s="151" t="s">
        <v>171</v>
      </c>
      <c r="AH15" s="296"/>
      <c r="AI15" s="296"/>
      <c r="AJ15" s="296"/>
      <c r="AK15" s="296"/>
      <c r="AL15" s="296"/>
      <c r="AM15" s="296"/>
      <c r="AN15" s="318"/>
      <c r="AP15" s="393"/>
      <c r="AQ15" s="296"/>
      <c r="AR15" s="296"/>
      <c r="AS15" s="296"/>
      <c r="AT15" s="296"/>
      <c r="AU15" s="318"/>
      <c r="AW15" s="407" t="s">
        <v>366</v>
      </c>
      <c r="AX15" s="408">
        <v>564345.31130291987</v>
      </c>
      <c r="AY15" s="408">
        <v>718611.77591618116</v>
      </c>
      <c r="AZ15" s="408">
        <f t="shared" si="1"/>
        <v>-154266.46461326128</v>
      </c>
      <c r="BA15" s="331"/>
      <c r="BB15" s="355">
        <v>722566.45707983407</v>
      </c>
      <c r="BC15" s="408">
        <f t="shared" si="2"/>
        <v>-158221.1457769142</v>
      </c>
      <c r="BD15" s="331" t="s">
        <v>425</v>
      </c>
    </row>
    <row r="16" spans="1:56" x14ac:dyDescent="0.3">
      <c r="R16" s="139" t="s">
        <v>172</v>
      </c>
      <c r="S16" s="511">
        <f>Tabelas_Coeficientes!B14</f>
        <v>2.44</v>
      </c>
      <c r="T16" s="512"/>
      <c r="U16" s="512"/>
      <c r="V16" s="512"/>
      <c r="W16" s="512"/>
      <c r="X16" s="512"/>
      <c r="Z16" s="511">
        <v>2.44</v>
      </c>
      <c r="AA16" s="512"/>
      <c r="AB16" s="512"/>
      <c r="AC16" s="512"/>
      <c r="AD16" s="512"/>
      <c r="AE16" s="512"/>
      <c r="AG16" s="162" t="s">
        <v>202</v>
      </c>
      <c r="AH16" s="299" t="s">
        <v>203</v>
      </c>
      <c r="AI16" s="485">
        <f>Tabelas_Prc_Insumos!D15</f>
        <v>3181.7170828800004</v>
      </c>
      <c r="AJ16" s="486"/>
      <c r="AK16" s="486"/>
      <c r="AL16" s="486"/>
      <c r="AM16" s="486"/>
      <c r="AN16" s="487"/>
      <c r="AP16" s="469">
        <v>3181.7170828800004</v>
      </c>
      <c r="AQ16" s="313"/>
      <c r="AR16" s="313"/>
      <c r="AS16" s="313"/>
      <c r="AT16" s="313"/>
      <c r="AU16" s="313"/>
      <c r="AW16" s="407" t="s">
        <v>113</v>
      </c>
      <c r="AX16" s="408">
        <v>68432.831999999995</v>
      </c>
      <c r="AY16" s="408">
        <v>81379.584000000003</v>
      </c>
      <c r="AZ16" s="408">
        <f t="shared" si="1"/>
        <v>-12946.752000000008</v>
      </c>
      <c r="BA16" s="331"/>
      <c r="BB16" s="355">
        <v>84770.4</v>
      </c>
      <c r="BC16" s="408">
        <f t="shared" si="2"/>
        <v>-16337.567999999999</v>
      </c>
      <c r="BD16" s="331" t="s">
        <v>418</v>
      </c>
    </row>
    <row r="17" spans="1:56" x14ac:dyDescent="0.3">
      <c r="A17" s="414"/>
      <c r="B17" s="415"/>
      <c r="C17" s="415"/>
      <c r="D17" s="415"/>
      <c r="E17" s="415"/>
      <c r="F17" s="415"/>
      <c r="G17" s="415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142" t="s">
        <v>173</v>
      </c>
      <c r="S17" s="515">
        <f>Tabelas_Coeficientes!B15</f>
        <v>0</v>
      </c>
      <c r="T17" s="516"/>
      <c r="U17" s="516"/>
      <c r="V17" s="516"/>
      <c r="W17" s="516"/>
      <c r="X17" s="516"/>
      <c r="Z17" s="513">
        <v>0</v>
      </c>
      <c r="AA17" s="514"/>
      <c r="AB17" s="514"/>
      <c r="AC17" s="514"/>
      <c r="AD17" s="514"/>
      <c r="AE17" s="514"/>
      <c r="AG17" s="225" t="s">
        <v>204</v>
      </c>
      <c r="AH17" s="274" t="s">
        <v>203</v>
      </c>
      <c r="AI17" s="488">
        <f>Tabelas_Prc_Insumos!D16</f>
        <v>1767.2713239999996</v>
      </c>
      <c r="AJ17" s="489"/>
      <c r="AK17" s="489"/>
      <c r="AL17" s="489"/>
      <c r="AM17" s="489"/>
      <c r="AN17" s="490"/>
      <c r="AP17" s="470">
        <v>1767.2713239999996</v>
      </c>
      <c r="AQ17" s="314"/>
      <c r="AR17" s="314"/>
      <c r="AS17" s="314"/>
      <c r="AT17" s="314"/>
      <c r="AU17" s="314"/>
      <c r="AW17" s="407" t="s">
        <v>118</v>
      </c>
      <c r="AX17" s="408">
        <v>284750.164486314</v>
      </c>
      <c r="AY17" s="408">
        <v>359996.11196228157</v>
      </c>
      <c r="AZ17" s="408">
        <f t="shared" si="1"/>
        <v>-75245.94747596758</v>
      </c>
      <c r="BA17" s="401"/>
      <c r="BB17" s="355">
        <v>363301.58568592533</v>
      </c>
      <c r="BC17" s="408">
        <f t="shared" si="2"/>
        <v>-78551.42119961133</v>
      </c>
      <c r="BD17" s="401"/>
    </row>
    <row r="18" spans="1:56" x14ac:dyDescent="0.3">
      <c r="B18" s="4"/>
      <c r="C18" s="4"/>
      <c r="D18" s="4"/>
      <c r="E18" s="4"/>
      <c r="F18" s="4"/>
      <c r="G18" s="4"/>
      <c r="R18" s="142" t="s">
        <v>174</v>
      </c>
      <c r="S18" s="515">
        <f>Tabelas_Coeficientes!B16</f>
        <v>0.5</v>
      </c>
      <c r="T18" s="516"/>
      <c r="U18" s="516"/>
      <c r="V18" s="516"/>
      <c r="W18" s="516"/>
      <c r="X18" s="516"/>
      <c r="Z18" s="515">
        <v>0.5</v>
      </c>
      <c r="AA18" s="516"/>
      <c r="AB18" s="516"/>
      <c r="AC18" s="516"/>
      <c r="AD18" s="516"/>
      <c r="AE18" s="516"/>
      <c r="AG18" s="225" t="s">
        <v>205</v>
      </c>
      <c r="AH18" s="300" t="s">
        <v>203</v>
      </c>
      <c r="AI18" s="488">
        <f>Tabelas_Prc_Insumos!D17</f>
        <v>2946.0343360000002</v>
      </c>
      <c r="AJ18" s="489"/>
      <c r="AK18" s="489"/>
      <c r="AL18" s="489"/>
      <c r="AM18" s="489"/>
      <c r="AN18" s="490"/>
      <c r="AP18" s="412">
        <v>2946.0343360000002</v>
      </c>
      <c r="AQ18" s="315"/>
      <c r="AR18" s="315"/>
      <c r="AS18" s="315"/>
      <c r="AT18" s="315"/>
      <c r="AU18" s="315"/>
      <c r="AW18" s="405" t="s">
        <v>120</v>
      </c>
      <c r="AX18" s="406">
        <v>72044.646666666667</v>
      </c>
      <c r="AY18" s="406">
        <v>72044.646666666667</v>
      </c>
      <c r="AZ18" s="406">
        <f t="shared" si="1"/>
        <v>0</v>
      </c>
      <c r="BA18" s="434"/>
      <c r="BB18" s="350">
        <v>99375.00483333334</v>
      </c>
      <c r="BC18" s="406">
        <f t="shared" si="2"/>
        <v>-27330.358166666672</v>
      </c>
      <c r="BD18" s="434" t="s">
        <v>410</v>
      </c>
    </row>
    <row r="19" spans="1:56" x14ac:dyDescent="0.3">
      <c r="A19" s="45"/>
      <c r="B19" s="365"/>
      <c r="C19" s="365"/>
      <c r="D19" s="365"/>
      <c r="E19" s="365"/>
      <c r="F19" s="365"/>
      <c r="G19" s="365"/>
      <c r="R19" s="142" t="s">
        <v>175</v>
      </c>
      <c r="S19" s="488">
        <f>Tabelas_Coeficientes!B17</f>
        <v>2.2448000000000001</v>
      </c>
      <c r="T19" s="489"/>
      <c r="U19" s="489"/>
      <c r="V19" s="489"/>
      <c r="W19" s="489"/>
      <c r="X19" s="489"/>
      <c r="Z19" s="488">
        <v>2.38</v>
      </c>
      <c r="AA19" s="489"/>
      <c r="AB19" s="489"/>
      <c r="AC19" s="489"/>
      <c r="AD19" s="489"/>
      <c r="AE19" s="489"/>
      <c r="AG19" s="225" t="s">
        <v>206</v>
      </c>
      <c r="AH19" s="300" t="s">
        <v>203</v>
      </c>
      <c r="AI19" s="479">
        <f>Tabelas_Prc_Insumos!D18</f>
        <v>570</v>
      </c>
      <c r="AJ19" s="480"/>
      <c r="AK19" s="480"/>
      <c r="AL19" s="480"/>
      <c r="AM19" s="480"/>
      <c r="AN19" s="481"/>
      <c r="AP19" s="457">
        <v>570</v>
      </c>
      <c r="AQ19" s="315"/>
      <c r="AR19" s="315"/>
      <c r="AS19" s="315"/>
      <c r="AT19" s="315"/>
      <c r="AU19" s="315"/>
      <c r="AW19" s="407" t="s">
        <v>122</v>
      </c>
      <c r="AX19" s="408">
        <v>71236.308333333334</v>
      </c>
      <c r="AY19" s="408">
        <v>71236.308333333334</v>
      </c>
      <c r="AZ19" s="408">
        <f t="shared" si="1"/>
        <v>0</v>
      </c>
      <c r="BA19" s="331"/>
      <c r="BB19" s="355">
        <v>98567.166500000007</v>
      </c>
      <c r="BC19" s="408">
        <f t="shared" si="2"/>
        <v>-27330.858166666672</v>
      </c>
      <c r="BD19" s="331"/>
    </row>
    <row r="20" spans="1:56" x14ac:dyDescent="0.3">
      <c r="A20" s="33"/>
      <c r="B20" s="41"/>
      <c r="C20" s="41"/>
      <c r="D20" s="41"/>
      <c r="E20" s="41"/>
      <c r="F20" s="41"/>
      <c r="G20" s="4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42" t="s">
        <v>176</v>
      </c>
      <c r="S20" s="515">
        <f>Tabelas_Coeficientes!B18</f>
        <v>0</v>
      </c>
      <c r="T20" s="516"/>
      <c r="U20" s="516"/>
      <c r="V20" s="516"/>
      <c r="W20" s="516"/>
      <c r="X20" s="516"/>
      <c r="Z20" s="515">
        <v>0</v>
      </c>
      <c r="AA20" s="516"/>
      <c r="AB20" s="516"/>
      <c r="AC20" s="516"/>
      <c r="AD20" s="516"/>
      <c r="AE20" s="516"/>
      <c r="AG20" s="225" t="s">
        <v>207</v>
      </c>
      <c r="AH20" s="300" t="s">
        <v>203</v>
      </c>
      <c r="AI20" s="479">
        <f>Tabelas_Prc_Insumos!D19</f>
        <v>570</v>
      </c>
      <c r="AJ20" s="480"/>
      <c r="AK20" s="480"/>
      <c r="AL20" s="480"/>
      <c r="AM20" s="480"/>
      <c r="AN20" s="481"/>
      <c r="AP20" s="457">
        <v>570</v>
      </c>
      <c r="AQ20" s="315"/>
      <c r="AR20" s="315"/>
      <c r="AS20" s="315"/>
      <c r="AT20" s="315"/>
      <c r="AU20" s="315"/>
      <c r="AW20" s="407" t="s">
        <v>367</v>
      </c>
      <c r="AX20" s="408">
        <v>371.33833333333331</v>
      </c>
      <c r="AY20" s="408">
        <v>371.33833333333331</v>
      </c>
      <c r="AZ20" s="408">
        <f t="shared" si="1"/>
        <v>0</v>
      </c>
      <c r="BB20" s="355">
        <v>371.33833333333337</v>
      </c>
      <c r="BC20" s="408">
        <f t="shared" si="2"/>
        <v>0</v>
      </c>
    </row>
    <row r="21" spans="1:56" x14ac:dyDescent="0.3">
      <c r="A21" s="33"/>
      <c r="B21" s="523"/>
      <c r="C21" s="523"/>
      <c r="D21" s="523"/>
      <c r="E21" s="523"/>
      <c r="F21" s="523"/>
      <c r="G21" s="523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42" t="s">
        <v>177</v>
      </c>
      <c r="S21" s="515">
        <f>Tabelas_Coeficientes!B19</f>
        <v>0.5</v>
      </c>
      <c r="T21" s="516"/>
      <c r="U21" s="516"/>
      <c r="V21" s="516"/>
      <c r="W21" s="516"/>
      <c r="X21" s="516"/>
      <c r="Z21" s="515">
        <v>0.5</v>
      </c>
      <c r="AA21" s="516"/>
      <c r="AB21" s="516"/>
      <c r="AC21" s="516"/>
      <c r="AD21" s="516"/>
      <c r="AE21" s="516"/>
      <c r="AG21" s="228" t="s">
        <v>209</v>
      </c>
      <c r="AH21" s="300" t="s">
        <v>203</v>
      </c>
      <c r="AI21" s="479">
        <f>Tabelas_Prc_Insumos!D20</f>
        <v>570</v>
      </c>
      <c r="AJ21" s="480"/>
      <c r="AK21" s="480"/>
      <c r="AL21" s="480"/>
      <c r="AM21" s="480"/>
      <c r="AN21" s="481"/>
      <c r="AP21" s="458">
        <v>570</v>
      </c>
      <c r="AQ21" s="311"/>
      <c r="AR21" s="315"/>
      <c r="AS21" s="315"/>
      <c r="AT21" s="315"/>
      <c r="AU21" s="315"/>
      <c r="AW21" s="407" t="s">
        <v>132</v>
      </c>
      <c r="AX21" s="408">
        <v>437</v>
      </c>
      <c r="AY21" s="408">
        <v>437</v>
      </c>
      <c r="AZ21" s="408">
        <f t="shared" si="1"/>
        <v>0</v>
      </c>
      <c r="BB21" s="355">
        <v>436.5</v>
      </c>
      <c r="BC21" s="408">
        <f t="shared" si="2"/>
        <v>0.5</v>
      </c>
    </row>
    <row r="22" spans="1:56" x14ac:dyDescent="0.3">
      <c r="A22" s="33"/>
      <c r="B22" s="523"/>
      <c r="C22" s="523"/>
      <c r="D22" s="523"/>
      <c r="E22" s="523"/>
      <c r="F22" s="523"/>
      <c r="G22" s="523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142" t="s">
        <v>178</v>
      </c>
      <c r="S22" s="493">
        <f>Tabelas_Coeficientes!B20</f>
        <v>0.45</v>
      </c>
      <c r="T22" s="494"/>
      <c r="U22" s="494"/>
      <c r="V22" s="494"/>
      <c r="W22" s="494"/>
      <c r="X22" s="494"/>
      <c r="Z22" s="493">
        <v>0.45</v>
      </c>
      <c r="AA22" s="494"/>
      <c r="AB22" s="494"/>
      <c r="AC22" s="494"/>
      <c r="AD22" s="494"/>
      <c r="AE22" s="494"/>
      <c r="AG22" s="147"/>
      <c r="AH22" s="300"/>
      <c r="AI22" s="274"/>
      <c r="AJ22" s="274"/>
      <c r="AK22" s="274"/>
      <c r="AL22" s="274"/>
      <c r="AM22" s="274"/>
      <c r="AN22" s="274"/>
      <c r="AP22" s="396"/>
      <c r="AQ22" s="274"/>
      <c r="AR22" s="274"/>
      <c r="AS22" s="274"/>
      <c r="AT22" s="274"/>
      <c r="AU22" s="300"/>
      <c r="AW22" s="405" t="s">
        <v>134</v>
      </c>
      <c r="AX22" s="406">
        <v>105092.2775</v>
      </c>
      <c r="AY22" s="406">
        <v>105092.2775</v>
      </c>
      <c r="AZ22" s="406">
        <f t="shared" si="1"/>
        <v>0</v>
      </c>
      <c r="BA22" s="434"/>
      <c r="BB22" s="350">
        <v>101905.24739999999</v>
      </c>
      <c r="BC22" s="406">
        <f t="shared" si="2"/>
        <v>3187.0301000000036</v>
      </c>
      <c r="BD22" s="434" t="s">
        <v>411</v>
      </c>
    </row>
    <row r="23" spans="1:56" x14ac:dyDescent="0.3">
      <c r="A23" s="33"/>
      <c r="B23" s="65"/>
      <c r="C23" s="65"/>
      <c r="D23" s="65"/>
      <c r="E23" s="65"/>
      <c r="F23" s="65"/>
      <c r="G23" s="65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142" t="s">
        <v>106</v>
      </c>
      <c r="S23" s="505">
        <f>Tabelas_Coeficientes!B21</f>
        <v>0.52502000000000004</v>
      </c>
      <c r="T23" s="506"/>
      <c r="U23" s="506"/>
      <c r="V23" s="506"/>
      <c r="W23" s="506"/>
      <c r="X23" s="506"/>
      <c r="Z23" s="505">
        <v>0.53339999999999999</v>
      </c>
      <c r="AA23" s="506"/>
      <c r="AB23" s="506"/>
      <c r="AC23" s="506"/>
      <c r="AD23" s="506"/>
      <c r="AE23" s="506"/>
      <c r="AG23" s="151" t="s">
        <v>120</v>
      </c>
      <c r="AH23" s="296"/>
      <c r="AI23" s="296"/>
      <c r="AJ23" s="296"/>
      <c r="AK23" s="296"/>
      <c r="AL23" s="296"/>
      <c r="AM23" s="296"/>
      <c r="AN23" s="318"/>
      <c r="AP23" s="393"/>
      <c r="AQ23" s="296"/>
      <c r="AR23" s="296"/>
      <c r="AS23" s="296"/>
      <c r="AT23" s="296"/>
      <c r="AU23" s="318"/>
      <c r="AW23" s="403" t="s">
        <v>368</v>
      </c>
      <c r="AX23" s="404">
        <v>115372.60758741609</v>
      </c>
      <c r="AY23" s="404">
        <v>127544.05762469536</v>
      </c>
      <c r="AZ23" s="404">
        <f t="shared" si="1"/>
        <v>-12171.450037279268</v>
      </c>
      <c r="BB23" s="345">
        <v>132461.36244644903</v>
      </c>
      <c r="BC23" s="404">
        <f t="shared" si="2"/>
        <v>-17088.754859032939</v>
      </c>
    </row>
    <row r="24" spans="1:56" x14ac:dyDescent="0.3">
      <c r="A24" s="33"/>
      <c r="B24" s="65"/>
      <c r="C24" s="65"/>
      <c r="D24" s="65"/>
      <c r="E24" s="65"/>
      <c r="F24" s="65"/>
      <c r="G24" s="65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77"/>
      <c r="S24" s="267"/>
      <c r="T24" s="147"/>
      <c r="U24" s="147"/>
      <c r="V24" s="147"/>
      <c r="W24" s="147"/>
      <c r="X24" s="147"/>
      <c r="Z24" s="147"/>
      <c r="AA24" s="147"/>
      <c r="AB24" s="147"/>
      <c r="AC24" s="147"/>
      <c r="AD24" s="147"/>
      <c r="AE24" s="147"/>
      <c r="AG24" s="162" t="s">
        <v>211</v>
      </c>
      <c r="AH24" s="299" t="s">
        <v>212</v>
      </c>
      <c r="AI24" s="390">
        <f>Tabelas_Prc_Insumos!D23</f>
        <v>0</v>
      </c>
      <c r="AJ24" s="390"/>
      <c r="AK24" s="313"/>
      <c r="AL24" s="313"/>
      <c r="AM24" s="313"/>
      <c r="AN24" s="313"/>
      <c r="AP24" s="397">
        <v>0</v>
      </c>
      <c r="AQ24" s="313"/>
      <c r="AR24" s="313"/>
      <c r="AS24" s="313"/>
      <c r="AT24" s="313"/>
      <c r="AU24" s="313"/>
      <c r="AW24" s="403" t="s">
        <v>148</v>
      </c>
      <c r="AX24" s="404">
        <v>128371.14481850108</v>
      </c>
      <c r="AY24" s="404">
        <v>141913.89996688301</v>
      </c>
      <c r="AZ24" s="404">
        <f t="shared" si="1"/>
        <v>-13542.755148381926</v>
      </c>
      <c r="BB24" s="345">
        <v>147385.2164482387</v>
      </c>
      <c r="BC24" s="404">
        <f t="shared" si="2"/>
        <v>-19014.07162973762</v>
      </c>
    </row>
    <row r="25" spans="1:56" x14ac:dyDescent="0.3">
      <c r="A25" s="33"/>
      <c r="B25" s="72"/>
      <c r="C25" s="72"/>
      <c r="D25" s="72"/>
      <c r="E25" s="72"/>
      <c r="F25" s="72"/>
      <c r="G25" s="72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151" t="s">
        <v>120</v>
      </c>
      <c r="S25" s="159"/>
      <c r="T25" s="257"/>
      <c r="U25" s="257"/>
      <c r="V25" s="257"/>
      <c r="W25" s="257"/>
      <c r="X25" s="257"/>
      <c r="Z25" s="257"/>
      <c r="AA25" s="257"/>
      <c r="AB25" s="257"/>
      <c r="AC25" s="257"/>
      <c r="AD25" s="257"/>
      <c r="AE25" s="257"/>
      <c r="AG25" s="228" t="s">
        <v>213</v>
      </c>
      <c r="AH25" s="280" t="s">
        <v>212</v>
      </c>
      <c r="AI25" s="391">
        <f>Tabelas_Prc_Insumos!D24</f>
        <v>0</v>
      </c>
      <c r="AJ25" s="391"/>
      <c r="AK25" s="311"/>
      <c r="AL25" s="311"/>
      <c r="AM25" s="311"/>
      <c r="AN25" s="319"/>
      <c r="AP25" s="398">
        <v>0</v>
      </c>
      <c r="AQ25" s="311"/>
      <c r="AR25" s="311"/>
      <c r="AS25" s="311"/>
      <c r="AT25" s="311"/>
      <c r="AU25" s="319"/>
      <c r="AW25" s="405" t="s">
        <v>193</v>
      </c>
      <c r="AX25" s="406">
        <v>76260.086030792721</v>
      </c>
      <c r="AY25" s="406">
        <v>84305.287109039404</v>
      </c>
      <c r="AZ25" s="406">
        <f t="shared" si="1"/>
        <v>-8045.2010782466823</v>
      </c>
      <c r="BB25" s="350">
        <v>87555.57412766655</v>
      </c>
      <c r="BC25" s="406">
        <f t="shared" si="2"/>
        <v>-11295.488096873829</v>
      </c>
    </row>
    <row r="26" spans="1:56" x14ac:dyDescent="0.3">
      <c r="A26" s="33"/>
      <c r="B26" s="35"/>
      <c r="C26" s="35"/>
      <c r="D26" s="35"/>
      <c r="E26" s="35"/>
      <c r="F26" s="35"/>
      <c r="G26" s="35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139" t="s">
        <v>179</v>
      </c>
      <c r="S26" s="519" t="s">
        <v>395</v>
      </c>
      <c r="T26" s="520"/>
      <c r="U26" s="520"/>
      <c r="V26" s="520"/>
      <c r="W26" s="520"/>
      <c r="X26" s="520"/>
      <c r="Z26" s="517" t="s">
        <v>394</v>
      </c>
      <c r="AA26" s="518"/>
      <c r="AB26" s="518"/>
      <c r="AC26" s="518"/>
      <c r="AD26" s="518"/>
      <c r="AE26" s="518"/>
      <c r="AG26" s="228" t="s">
        <v>130</v>
      </c>
      <c r="AH26" s="280" t="s">
        <v>212</v>
      </c>
      <c r="AI26" s="391">
        <f>Tabelas_Prc_Insumos!D25</f>
        <v>0</v>
      </c>
      <c r="AJ26" s="391"/>
      <c r="AK26" s="311"/>
      <c r="AL26" s="311"/>
      <c r="AM26" s="311"/>
      <c r="AN26" s="320"/>
      <c r="AP26" s="398">
        <v>0</v>
      </c>
      <c r="AQ26" s="311"/>
      <c r="AR26" s="311"/>
      <c r="AS26" s="311"/>
      <c r="AT26" s="311"/>
      <c r="AU26" s="320"/>
      <c r="AW26" s="405" t="s">
        <v>156</v>
      </c>
      <c r="AX26" s="406">
        <v>0</v>
      </c>
      <c r="AY26" s="406">
        <v>0</v>
      </c>
      <c r="AZ26" s="406">
        <f t="shared" si="1"/>
        <v>0</v>
      </c>
      <c r="BB26" s="350">
        <v>0</v>
      </c>
      <c r="BC26" s="406">
        <f t="shared" si="2"/>
        <v>0</v>
      </c>
    </row>
    <row r="27" spans="1:56" x14ac:dyDescent="0.3">
      <c r="A27" s="33"/>
      <c r="B27" s="524"/>
      <c r="C27" s="524"/>
      <c r="D27" s="524"/>
      <c r="E27" s="524"/>
      <c r="F27" s="524"/>
      <c r="G27" s="52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278"/>
      <c r="S27" s="267"/>
      <c r="T27" s="147"/>
      <c r="U27" s="147"/>
      <c r="V27" s="147"/>
      <c r="W27" s="147"/>
      <c r="X27" s="147"/>
      <c r="Z27" s="147"/>
      <c r="AA27" s="147"/>
      <c r="AB27" s="147"/>
      <c r="AC27" s="147"/>
      <c r="AD27" s="147"/>
      <c r="AE27" s="147"/>
      <c r="AG27" s="228" t="s">
        <v>215</v>
      </c>
      <c r="AH27" s="280" t="s">
        <v>212</v>
      </c>
      <c r="AI27" s="391">
        <f>Tabelas_Prc_Insumos!D26</f>
        <v>90.94</v>
      </c>
      <c r="AJ27" s="391"/>
      <c r="AK27" s="311"/>
      <c r="AL27" s="311"/>
      <c r="AM27" s="311"/>
      <c r="AN27" s="321"/>
      <c r="AP27" s="398">
        <v>90.94</v>
      </c>
      <c r="AQ27" s="311"/>
      <c r="AR27" s="311"/>
      <c r="AS27" s="311"/>
      <c r="AT27" s="311"/>
      <c r="AU27" s="321"/>
      <c r="AW27" s="405" t="s">
        <v>157</v>
      </c>
      <c r="AX27" s="406">
        <v>0</v>
      </c>
      <c r="AY27" s="406">
        <v>0</v>
      </c>
      <c r="AZ27" s="406">
        <f t="shared" si="1"/>
        <v>0</v>
      </c>
      <c r="BB27" s="350">
        <v>0</v>
      </c>
      <c r="BC27" s="406">
        <f t="shared" si="2"/>
        <v>0</v>
      </c>
    </row>
    <row r="28" spans="1:56" x14ac:dyDescent="0.3"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151" t="s">
        <v>152</v>
      </c>
      <c r="S28" s="159"/>
      <c r="T28" s="257"/>
      <c r="U28" s="257"/>
      <c r="V28" s="257"/>
      <c r="W28" s="257"/>
      <c r="X28" s="257"/>
      <c r="Z28" s="257"/>
      <c r="AA28" s="257"/>
      <c r="AB28" s="257"/>
      <c r="AC28" s="257"/>
      <c r="AD28" s="257"/>
      <c r="AE28" s="257"/>
      <c r="AG28" s="228" t="s">
        <v>132</v>
      </c>
      <c r="AH28" s="280" t="s">
        <v>216</v>
      </c>
      <c r="AI28" s="471">
        <f>Tabelas_Prc_Insumos!D27</f>
        <v>437</v>
      </c>
      <c r="AJ28" s="471"/>
      <c r="AK28" s="472"/>
      <c r="AL28" s="472"/>
      <c r="AM28" s="472"/>
      <c r="AN28" s="321"/>
      <c r="AO28" s="446"/>
      <c r="AP28" s="473">
        <v>436.5</v>
      </c>
      <c r="AQ28" s="472"/>
      <c r="AR28" s="472"/>
      <c r="AS28" s="311"/>
      <c r="AT28" s="311"/>
      <c r="AU28" s="321"/>
      <c r="AW28" s="405" t="s">
        <v>194</v>
      </c>
      <c r="AX28" s="406">
        <v>21607.024375391273</v>
      </c>
      <c r="AY28" s="406">
        <v>23886.498014227833</v>
      </c>
      <c r="AZ28" s="406">
        <f t="shared" si="1"/>
        <v>-2279.47363883656</v>
      </c>
      <c r="BB28" s="350">
        <v>24807.412669505524</v>
      </c>
      <c r="BC28" s="406">
        <f t="shared" si="2"/>
        <v>-3200.388294114251</v>
      </c>
    </row>
    <row r="29" spans="1:56" x14ac:dyDescent="0.3">
      <c r="A29" s="45"/>
      <c r="B29" s="365"/>
      <c r="C29" s="365"/>
      <c r="D29" s="365"/>
      <c r="E29" s="365"/>
      <c r="F29" s="365"/>
      <c r="G29" s="365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279" t="s">
        <v>180</v>
      </c>
      <c r="S29" s="282">
        <f>Tabelas_Coeficientes!B27</f>
        <v>10</v>
      </c>
      <c r="T29" s="282">
        <f>Tabelas_Coeficientes!C27</f>
        <v>10</v>
      </c>
      <c r="U29" s="282">
        <f>Tabelas_Coeficientes!D27</f>
        <v>10</v>
      </c>
      <c r="V29" s="282">
        <f>Tabelas_Coeficientes!E27</f>
        <v>10</v>
      </c>
      <c r="W29" s="282">
        <f>Tabelas_Coeficientes!F27</f>
        <v>10</v>
      </c>
      <c r="X29" s="282">
        <f>Tabelas_Coeficientes!G27</f>
        <v>10</v>
      </c>
      <c r="Z29" s="287">
        <v>10</v>
      </c>
      <c r="AA29" s="287">
        <v>10</v>
      </c>
      <c r="AB29" s="287">
        <v>10</v>
      </c>
      <c r="AC29" s="287">
        <v>10</v>
      </c>
      <c r="AD29" s="287">
        <v>10</v>
      </c>
      <c r="AE29" s="287">
        <v>10</v>
      </c>
      <c r="AG29" s="147"/>
      <c r="AH29" s="275"/>
      <c r="AI29" s="275"/>
      <c r="AJ29" s="275"/>
      <c r="AK29" s="275"/>
      <c r="AL29" s="275"/>
      <c r="AM29" s="275"/>
      <c r="AN29" s="322"/>
      <c r="AP29" s="392"/>
      <c r="AQ29" s="275"/>
      <c r="AR29" s="275"/>
      <c r="AS29" s="275"/>
      <c r="AT29" s="275"/>
      <c r="AU29" s="322"/>
      <c r="AW29" s="405" t="s">
        <v>195</v>
      </c>
      <c r="AX29" s="406">
        <v>30504.034412317087</v>
      </c>
      <c r="AY29" s="406">
        <v>33722.11484361576</v>
      </c>
      <c r="AZ29" s="406">
        <f t="shared" si="1"/>
        <v>-3218.0804312986729</v>
      </c>
      <c r="BA29" s="331"/>
      <c r="BB29" s="350">
        <v>35022.22965106662</v>
      </c>
      <c r="BC29" s="406">
        <f t="shared" si="2"/>
        <v>-4518.195238749533</v>
      </c>
      <c r="BD29" s="331"/>
    </row>
    <row r="30" spans="1:56" x14ac:dyDescent="0.3">
      <c r="A30" s="33"/>
      <c r="B30" s="521"/>
      <c r="C30" s="521"/>
      <c r="D30" s="521"/>
      <c r="E30" s="521"/>
      <c r="F30" s="521"/>
      <c r="G30" s="521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142" t="s">
        <v>181</v>
      </c>
      <c r="S30" s="283">
        <f>Tabelas_Coeficientes!B28</f>
        <v>0.1</v>
      </c>
      <c r="T30" s="283">
        <f>Tabelas_Coeficientes!C28</f>
        <v>0.1</v>
      </c>
      <c r="U30" s="283">
        <f>Tabelas_Coeficientes!D28</f>
        <v>0.1</v>
      </c>
      <c r="V30" s="288">
        <f>Tabelas_Coeficientes!E28</f>
        <v>0.1</v>
      </c>
      <c r="W30" s="288">
        <f>Tabelas_Coeficientes!F28</f>
        <v>0.1</v>
      </c>
      <c r="X30" s="288">
        <f>Tabelas_Coeficientes!G28</f>
        <v>0.1</v>
      </c>
      <c r="Z30" s="288">
        <v>0.1</v>
      </c>
      <c r="AA30" s="288">
        <v>0.1</v>
      </c>
      <c r="AB30" s="288">
        <v>0.1</v>
      </c>
      <c r="AC30" s="288">
        <v>0.1</v>
      </c>
      <c r="AD30" s="288">
        <v>0.1</v>
      </c>
      <c r="AE30" s="288">
        <v>0.1</v>
      </c>
      <c r="AG30" s="151" t="s">
        <v>152</v>
      </c>
      <c r="AH30" s="296"/>
      <c r="AI30" s="296"/>
      <c r="AJ30" s="296"/>
      <c r="AK30" s="296"/>
      <c r="AL30" s="296"/>
      <c r="AM30" s="296"/>
      <c r="AN30" s="159"/>
      <c r="AP30" s="393"/>
      <c r="AQ30" s="296"/>
      <c r="AR30" s="296"/>
      <c r="AS30" s="296"/>
      <c r="AT30" s="296"/>
      <c r="AU30" s="159"/>
      <c r="AW30" s="403" t="s">
        <v>149</v>
      </c>
      <c r="AX30" s="404">
        <v>2542002.8676930899</v>
      </c>
      <c r="AY30" s="404">
        <v>2810176.2369679799</v>
      </c>
      <c r="AZ30" s="404">
        <f t="shared" si="1"/>
        <v>-268173.36927489005</v>
      </c>
      <c r="BB30" s="345">
        <v>2918519.1375888917</v>
      </c>
      <c r="BC30" s="404">
        <f t="shared" si="2"/>
        <v>-376516.26989580179</v>
      </c>
    </row>
    <row r="31" spans="1:56" x14ac:dyDescent="0.3">
      <c r="A31" s="33"/>
      <c r="B31" s="521"/>
      <c r="C31" s="521"/>
      <c r="D31" s="521"/>
      <c r="E31" s="521"/>
      <c r="F31" s="521"/>
      <c r="G31" s="52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142" t="s">
        <v>182</v>
      </c>
      <c r="S31" s="493">
        <f>Tabelas_Coeficientes!B29</f>
        <v>0.1</v>
      </c>
      <c r="T31" s="494"/>
      <c r="U31" s="494"/>
      <c r="V31" s="494"/>
      <c r="W31" s="494"/>
      <c r="X31" s="494"/>
      <c r="Z31" s="493">
        <v>0.1</v>
      </c>
      <c r="AA31" s="494"/>
      <c r="AB31" s="494"/>
      <c r="AC31" s="494"/>
      <c r="AD31" s="494"/>
      <c r="AE31" s="494"/>
      <c r="AG31" s="294" t="s">
        <v>217</v>
      </c>
      <c r="AH31" s="301" t="s">
        <v>212</v>
      </c>
      <c r="AI31" s="308">
        <f>Tabelas_Prc_Insumos!D30</f>
        <v>465000</v>
      </c>
      <c r="AJ31" s="445">
        <f>Tabelas_Prc_Insumos!E30</f>
        <v>523000</v>
      </c>
      <c r="AK31" s="445">
        <f>Tabelas_Prc_Insumos!F30</f>
        <v>692298</v>
      </c>
      <c r="AL31" s="445">
        <f>Tabelas_Prc_Insumos!G30</f>
        <v>737298</v>
      </c>
      <c r="AM31" s="445">
        <f>Tabelas_Prc_Insumos!H30</f>
        <v>736398</v>
      </c>
      <c r="AN31" s="445">
        <f>Tabelas_Prc_Insumos!I30</f>
        <v>781398</v>
      </c>
      <c r="AP31" s="451">
        <v>465000</v>
      </c>
      <c r="AQ31" s="445">
        <v>630360</v>
      </c>
      <c r="AR31" s="445">
        <v>632000</v>
      </c>
      <c r="AS31" s="445">
        <v>885539</v>
      </c>
      <c r="AT31" s="445">
        <v>664000</v>
      </c>
      <c r="AU31" s="445">
        <v>793398</v>
      </c>
      <c r="AW31" s="409"/>
      <c r="AX31" s="409"/>
      <c r="AY31" s="409"/>
      <c r="AZ31" s="409"/>
      <c r="BB31" s="409"/>
      <c r="BC31" s="409"/>
    </row>
    <row r="32" spans="1:56" x14ac:dyDescent="0.3">
      <c r="A32" s="33"/>
      <c r="B32" s="521"/>
      <c r="C32" s="521"/>
      <c r="D32" s="521"/>
      <c r="E32" s="521"/>
      <c r="F32" s="521"/>
      <c r="G32" s="521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142" t="s">
        <v>183</v>
      </c>
      <c r="S32" s="493">
        <f>Tabelas_Coeficientes!B30</f>
        <v>0</v>
      </c>
      <c r="T32" s="494"/>
      <c r="U32" s="494"/>
      <c r="V32" s="494"/>
      <c r="W32" s="494"/>
      <c r="X32" s="494"/>
      <c r="Z32" s="493">
        <v>0</v>
      </c>
      <c r="AA32" s="494"/>
      <c r="AB32" s="494"/>
      <c r="AC32" s="494"/>
      <c r="AD32" s="494"/>
      <c r="AE32" s="494"/>
      <c r="AG32" s="294" t="s">
        <v>218</v>
      </c>
      <c r="AH32" s="301" t="s">
        <v>212</v>
      </c>
      <c r="AI32" s="301"/>
      <c r="AJ32" s="301"/>
      <c r="AK32" s="301"/>
      <c r="AL32" s="301"/>
      <c r="AM32" s="301"/>
      <c r="AN32" s="301"/>
      <c r="AP32" s="399"/>
      <c r="AQ32" s="301"/>
      <c r="AR32" s="301"/>
      <c r="AS32" s="301"/>
      <c r="AT32" s="301"/>
      <c r="AU32" s="301"/>
      <c r="AW32" s="403" t="s">
        <v>373</v>
      </c>
      <c r="AX32" s="404">
        <f>AX30/$H$11</f>
        <v>16.200491161712137</v>
      </c>
      <c r="AY32" s="404">
        <v>17.909592419606142</v>
      </c>
      <c r="AZ32" s="404">
        <f t="shared" si="1"/>
        <v>-1.7091012578940052</v>
      </c>
      <c r="BB32" s="404">
        <v>18.694423209173699</v>
      </c>
      <c r="BC32" s="404">
        <f>AX32-BB32</f>
        <v>-2.4939320474615627</v>
      </c>
    </row>
    <row r="33" spans="1:55" x14ac:dyDescent="0.3">
      <c r="A33" s="33"/>
      <c r="B33" s="521"/>
      <c r="C33" s="521"/>
      <c r="D33" s="521"/>
      <c r="E33" s="521"/>
      <c r="F33" s="521"/>
      <c r="G33" s="521"/>
      <c r="H33" s="39"/>
      <c r="I33" s="39"/>
      <c r="J33" s="39"/>
      <c r="K33" s="39"/>
      <c r="L33" s="39"/>
      <c r="M33" s="39"/>
      <c r="N33" s="39"/>
      <c r="O33" s="79"/>
      <c r="P33" s="39"/>
      <c r="Q33" s="39"/>
      <c r="R33" s="142" t="s">
        <v>184</v>
      </c>
      <c r="S33" s="503">
        <f>Tabelas_Coeficientes!B31</f>
        <v>25</v>
      </c>
      <c r="T33" s="504"/>
      <c r="U33" s="504"/>
      <c r="V33" s="504"/>
      <c r="W33" s="504"/>
      <c r="X33" s="504"/>
      <c r="Z33" s="503">
        <v>25</v>
      </c>
      <c r="AA33" s="504"/>
      <c r="AB33" s="504"/>
      <c r="AC33" s="504"/>
      <c r="AD33" s="504"/>
      <c r="AE33" s="504"/>
      <c r="AG33" s="228" t="s">
        <v>219</v>
      </c>
      <c r="AH33" s="280" t="s">
        <v>212</v>
      </c>
      <c r="AI33" s="280"/>
      <c r="AJ33" s="280"/>
      <c r="AK33" s="280"/>
      <c r="AL33" s="280"/>
      <c r="AM33" s="280"/>
      <c r="AN33" s="280"/>
      <c r="AP33" s="284"/>
      <c r="AQ33" s="280"/>
      <c r="AR33" s="280"/>
      <c r="AS33" s="280"/>
      <c r="AT33" s="280"/>
      <c r="AU33" s="280"/>
      <c r="AW33" s="403" t="s">
        <v>18</v>
      </c>
      <c r="AX33" s="404">
        <f>AX30/$H$9</f>
        <v>10.639200377072131</v>
      </c>
      <c r="AY33" s="404">
        <v>11.761602813265837</v>
      </c>
      <c r="AZ33" s="404">
        <f t="shared" si="1"/>
        <v>-1.1224024361937062</v>
      </c>
      <c r="BB33" s="404">
        <v>12.169962219698725</v>
      </c>
      <c r="BC33" s="404">
        <f>AX33-BB33</f>
        <v>-1.5307618426265943</v>
      </c>
    </row>
    <row r="34" spans="1:55" x14ac:dyDescent="0.3">
      <c r="A34" s="33"/>
      <c r="B34" s="521"/>
      <c r="C34" s="521"/>
      <c r="D34" s="521"/>
      <c r="E34" s="521"/>
      <c r="F34" s="521"/>
      <c r="G34" s="521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142" t="s">
        <v>185</v>
      </c>
      <c r="S34" s="503">
        <f>Tabelas_Coeficientes!B32</f>
        <v>10</v>
      </c>
      <c r="T34" s="504"/>
      <c r="U34" s="504"/>
      <c r="V34" s="504"/>
      <c r="W34" s="504"/>
      <c r="X34" s="504"/>
      <c r="Z34" s="503">
        <v>10</v>
      </c>
      <c r="AA34" s="504"/>
      <c r="AB34" s="504"/>
      <c r="AC34" s="504"/>
      <c r="AD34" s="504"/>
      <c r="AE34" s="504"/>
      <c r="AG34" s="410" t="s">
        <v>379</v>
      </c>
      <c r="AH34" s="280" t="s">
        <v>212</v>
      </c>
      <c r="AI34" s="411">
        <f>'Tarifa_Técnica - PLANUM'!D41</f>
        <v>730074.32</v>
      </c>
      <c r="AJ34" s="455"/>
      <c r="AK34" s="413"/>
      <c r="AL34" s="413"/>
      <c r="AM34" s="413"/>
      <c r="AN34" s="413"/>
      <c r="AP34" s="411">
        <v>664000</v>
      </c>
      <c r="AQ34" s="413"/>
      <c r="AR34" s="413"/>
      <c r="AS34" s="413"/>
      <c r="AT34" s="413"/>
      <c r="AU34" s="413"/>
      <c r="AW34" s="400"/>
    </row>
    <row r="35" spans="1:55" x14ac:dyDescent="0.3">
      <c r="A35" s="33"/>
      <c r="B35" s="521"/>
      <c r="C35" s="521"/>
      <c r="D35" s="521"/>
      <c r="E35" s="521"/>
      <c r="F35" s="521"/>
      <c r="G35" s="521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142" t="s">
        <v>186</v>
      </c>
      <c r="S35" s="493">
        <f>Tabelas_Coeficientes!B33</f>
        <v>0</v>
      </c>
      <c r="T35" s="494"/>
      <c r="U35" s="494"/>
      <c r="V35" s="494"/>
      <c r="W35" s="494"/>
      <c r="X35" s="494"/>
      <c r="Z35" s="493">
        <v>0</v>
      </c>
      <c r="AA35" s="494"/>
      <c r="AB35" s="494"/>
      <c r="AC35" s="494"/>
      <c r="AD35" s="494"/>
      <c r="AE35" s="494"/>
      <c r="AG35" s="228" t="s">
        <v>220</v>
      </c>
      <c r="AH35" s="280" t="s">
        <v>221</v>
      </c>
      <c r="AI35" s="307">
        <f>Tabelas_Prc_Insumos!D33</f>
        <v>0</v>
      </c>
      <c r="AJ35" s="307"/>
      <c r="AK35" s="311"/>
      <c r="AL35" s="311"/>
      <c r="AM35" s="311"/>
      <c r="AN35" s="311"/>
      <c r="AP35" s="307">
        <v>0</v>
      </c>
      <c r="AQ35" s="311"/>
      <c r="AR35" s="311"/>
      <c r="AS35" s="311"/>
      <c r="AT35" s="311"/>
      <c r="AU35" s="311"/>
    </row>
    <row r="36" spans="1:55" x14ac:dyDescent="0.3">
      <c r="A36" s="33"/>
      <c r="B36" s="526"/>
      <c r="C36" s="526"/>
      <c r="D36" s="526"/>
      <c r="E36" s="526"/>
      <c r="F36" s="526"/>
      <c r="G36" s="526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142" t="s">
        <v>187</v>
      </c>
      <c r="S36" s="503">
        <f>Tabelas_Coeficientes!B34</f>
        <v>5</v>
      </c>
      <c r="T36" s="504"/>
      <c r="U36" s="504"/>
      <c r="V36" s="504"/>
      <c r="W36" s="504"/>
      <c r="X36" s="504"/>
      <c r="Z36" s="503">
        <v>5</v>
      </c>
      <c r="AA36" s="504"/>
      <c r="AB36" s="504"/>
      <c r="AC36" s="504"/>
      <c r="AD36" s="504"/>
      <c r="AE36" s="504"/>
      <c r="AG36" s="228" t="s">
        <v>222</v>
      </c>
      <c r="AH36" s="280" t="s">
        <v>221</v>
      </c>
      <c r="AI36" s="307">
        <f>Tabelas_Prc_Insumos!D34</f>
        <v>0</v>
      </c>
      <c r="AJ36" s="307"/>
      <c r="AK36" s="311"/>
      <c r="AL36" s="311"/>
      <c r="AM36" s="311"/>
      <c r="AN36" s="311"/>
      <c r="AP36" s="307">
        <v>0</v>
      </c>
      <c r="AQ36" s="311"/>
      <c r="AR36" s="311"/>
      <c r="AS36" s="311"/>
      <c r="AT36" s="311"/>
      <c r="AU36" s="311"/>
    </row>
    <row r="37" spans="1:55" x14ac:dyDescent="0.3">
      <c r="A37" s="33"/>
      <c r="B37" s="526"/>
      <c r="C37" s="526"/>
      <c r="D37" s="526"/>
      <c r="E37" s="526"/>
      <c r="F37" s="526"/>
      <c r="G37" s="526"/>
      <c r="H37" s="39"/>
      <c r="I37" s="39"/>
      <c r="J37" s="39"/>
      <c r="K37" s="39"/>
      <c r="L37" s="39"/>
      <c r="M37" s="39"/>
      <c r="N37" s="39"/>
      <c r="O37" s="39"/>
      <c r="P37" s="39"/>
      <c r="Q37" s="41"/>
      <c r="R37" s="142" t="s">
        <v>188</v>
      </c>
      <c r="S37" s="503">
        <f>Tabelas_Coeficientes!B35</f>
        <v>10</v>
      </c>
      <c r="T37" s="504"/>
      <c r="U37" s="504"/>
      <c r="V37" s="504"/>
      <c r="W37" s="504"/>
      <c r="X37" s="504"/>
      <c r="Y37" s="70"/>
      <c r="Z37" s="503">
        <v>10</v>
      </c>
      <c r="AA37" s="504"/>
      <c r="AB37" s="504"/>
      <c r="AC37" s="504"/>
      <c r="AD37" s="504"/>
      <c r="AE37" s="504"/>
      <c r="AG37" s="228" t="s">
        <v>223</v>
      </c>
      <c r="AH37" s="280" t="s">
        <v>221</v>
      </c>
      <c r="AI37" s="456">
        <f>Tabelas_Prc_Insumos!D35</f>
        <v>0</v>
      </c>
      <c r="AJ37" s="411"/>
      <c r="AK37" s="311"/>
      <c r="AL37" s="311"/>
      <c r="AM37" s="311"/>
      <c r="AN37" s="311"/>
      <c r="AP37" s="411">
        <v>532555.11</v>
      </c>
      <c r="AQ37" s="311"/>
      <c r="AR37" s="311"/>
      <c r="AS37" s="311"/>
      <c r="AT37" s="311"/>
      <c r="AU37" s="311"/>
      <c r="AW37" t="s">
        <v>402</v>
      </c>
    </row>
    <row r="38" spans="1:55" x14ac:dyDescent="0.3"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142" t="s">
        <v>189</v>
      </c>
      <c r="S38" s="505">
        <f>Tabelas_Coeficientes!B36</f>
        <v>0.12704799999999999</v>
      </c>
      <c r="T38" s="506"/>
      <c r="U38" s="506"/>
      <c r="V38" s="506"/>
      <c r="W38" s="506"/>
      <c r="X38" s="506"/>
      <c r="Y38" s="446"/>
      <c r="Z38" s="505">
        <v>0.12640000000000001</v>
      </c>
      <c r="AA38" s="506"/>
      <c r="AB38" s="506"/>
      <c r="AC38" s="506"/>
      <c r="AD38" s="506"/>
      <c r="AE38" s="506"/>
      <c r="AG38" s="228" t="s">
        <v>224</v>
      </c>
      <c r="AH38" s="280" t="s">
        <v>221</v>
      </c>
      <c r="AI38" s="307">
        <f>Tabelas_Prc_Insumos!D36</f>
        <v>0</v>
      </c>
      <c r="AJ38" s="307"/>
      <c r="AK38" s="311"/>
      <c r="AL38" s="311"/>
      <c r="AM38" s="311"/>
      <c r="AN38" s="311"/>
      <c r="AP38" s="307">
        <v>0</v>
      </c>
      <c r="AQ38" s="311"/>
      <c r="AR38" s="311"/>
      <c r="AS38" s="311"/>
      <c r="AT38" s="311"/>
      <c r="AU38" s="311"/>
    </row>
    <row r="39" spans="1:55" x14ac:dyDescent="0.3">
      <c r="A39" s="45"/>
      <c r="B39" s="365"/>
      <c r="C39" s="365"/>
      <c r="D39" s="365"/>
      <c r="E39" s="365"/>
      <c r="F39" s="365"/>
      <c r="G39" s="365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42" t="s">
        <v>190</v>
      </c>
      <c r="S39" s="497">
        <f>Tabelas_Coeficientes!B37</f>
        <v>4.5053999999999997E-2</v>
      </c>
      <c r="T39" s="498"/>
      <c r="U39" s="498"/>
      <c r="V39" s="498"/>
      <c r="W39" s="498"/>
      <c r="X39" s="498"/>
      <c r="Y39" s="446"/>
      <c r="Z39" s="497">
        <v>4.5100000000000001E-2</v>
      </c>
      <c r="AA39" s="498"/>
      <c r="AB39" s="498"/>
      <c r="AC39" s="498"/>
      <c r="AD39" s="498"/>
      <c r="AE39" s="498"/>
      <c r="AG39" s="228" t="s">
        <v>225</v>
      </c>
      <c r="AH39" s="280" t="s">
        <v>221</v>
      </c>
      <c r="AI39" s="307">
        <f>Tabelas_Prc_Insumos!D37</f>
        <v>0</v>
      </c>
      <c r="AJ39" s="307"/>
      <c r="AK39" s="311"/>
      <c r="AL39" s="311"/>
      <c r="AM39" s="311"/>
      <c r="AN39" s="311"/>
      <c r="AP39" s="307">
        <v>0</v>
      </c>
      <c r="AQ39" s="311"/>
      <c r="AR39" s="311"/>
      <c r="AS39" s="311"/>
      <c r="AT39" s="311"/>
      <c r="AU39" s="311"/>
    </row>
    <row r="40" spans="1:55" x14ac:dyDescent="0.3">
      <c r="A40" s="33"/>
      <c r="B40" s="527"/>
      <c r="C40" s="527"/>
      <c r="D40" s="527"/>
      <c r="E40" s="527"/>
      <c r="F40" s="527"/>
      <c r="G40" s="527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142" t="s">
        <v>191</v>
      </c>
      <c r="S40" s="499">
        <f>Tabelas_Coeficientes!B38</f>
        <v>2</v>
      </c>
      <c r="T40" s="500"/>
      <c r="U40" s="500"/>
      <c r="V40" s="500"/>
      <c r="W40" s="500"/>
      <c r="X40" s="500"/>
      <c r="Z40" s="499">
        <v>2</v>
      </c>
      <c r="AA40" s="500"/>
      <c r="AB40" s="500"/>
      <c r="AC40" s="500"/>
      <c r="AD40" s="500"/>
      <c r="AE40" s="500"/>
      <c r="AG40" s="147"/>
      <c r="AH40" s="275"/>
      <c r="AI40" s="275"/>
      <c r="AJ40" s="275"/>
      <c r="AK40" s="275"/>
      <c r="AL40" s="275"/>
      <c r="AM40" s="275"/>
      <c r="AN40" s="323"/>
      <c r="AP40" s="392"/>
      <c r="AQ40" s="275"/>
      <c r="AR40" s="275"/>
      <c r="AS40" s="275"/>
      <c r="AT40" s="275"/>
      <c r="AU40" s="323"/>
      <c r="AW40" s="402" t="s">
        <v>363</v>
      </c>
      <c r="AX40" s="402" t="s">
        <v>375</v>
      </c>
      <c r="AY40" s="402"/>
      <c r="AZ40" s="402"/>
      <c r="BA40" s="402"/>
      <c r="BB40" s="402" t="s">
        <v>376</v>
      </c>
      <c r="BC40" s="402" t="s">
        <v>378</v>
      </c>
    </row>
    <row r="41" spans="1:55" x14ac:dyDescent="0.3">
      <c r="A41" s="33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147"/>
      <c r="S41" s="267"/>
      <c r="T41" s="147"/>
      <c r="U41" s="147"/>
      <c r="V41" s="147"/>
      <c r="W41" s="147"/>
      <c r="X41" s="147"/>
      <c r="Z41" s="147"/>
      <c r="AA41" s="147"/>
      <c r="AB41" s="147"/>
      <c r="AC41" s="147"/>
      <c r="AD41" s="147"/>
      <c r="AE41" s="147"/>
      <c r="AG41" s="151" t="s">
        <v>226</v>
      </c>
      <c r="AH41" s="296"/>
      <c r="AI41" s="296"/>
      <c r="AJ41" s="296"/>
      <c r="AK41" s="296"/>
      <c r="AL41" s="296"/>
      <c r="AM41" s="296"/>
      <c r="AN41" s="159"/>
      <c r="AP41" s="393"/>
      <c r="AQ41" s="296"/>
      <c r="AR41" s="296"/>
      <c r="AS41" s="296"/>
      <c r="AT41" s="296"/>
      <c r="AU41" s="159"/>
      <c r="AW41" s="403" t="s">
        <v>13</v>
      </c>
      <c r="AX41" s="404">
        <f>SUM(AX42:AX47)</f>
        <v>834723.54559999995</v>
      </c>
      <c r="AY41" s="404"/>
      <c r="AZ41" s="404"/>
      <c r="BA41" s="404"/>
      <c r="BB41" s="404">
        <v>891659.6461061372</v>
      </c>
      <c r="BC41" s="404">
        <f>AX41-BB41</f>
        <v>-56936.100506137242</v>
      </c>
    </row>
    <row r="42" spans="1:55" x14ac:dyDescent="0.3">
      <c r="A42" s="45"/>
      <c r="B42" s="365"/>
      <c r="C42" s="365"/>
      <c r="D42" s="365"/>
      <c r="E42" s="365"/>
      <c r="F42" s="365"/>
      <c r="G42" s="365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51" t="s">
        <v>192</v>
      </c>
      <c r="S42" s="159"/>
      <c r="T42" s="257"/>
      <c r="U42" s="257"/>
      <c r="V42" s="257"/>
      <c r="W42" s="257"/>
      <c r="X42" s="257"/>
      <c r="Z42" s="257"/>
      <c r="AA42" s="257"/>
      <c r="AB42" s="257"/>
      <c r="AC42" s="257"/>
      <c r="AD42" s="257"/>
      <c r="AE42" s="257"/>
      <c r="AG42" s="294" t="s">
        <v>227</v>
      </c>
      <c r="AH42" s="301" t="s">
        <v>345</v>
      </c>
      <c r="AI42" s="485">
        <f>Tabelas_Prc_Insumos!D40</f>
        <v>10296.93</v>
      </c>
      <c r="AJ42" s="486"/>
      <c r="AK42" s="486"/>
      <c r="AL42" s="486"/>
      <c r="AM42" s="486"/>
      <c r="AN42" s="487"/>
      <c r="AO42" s="145"/>
      <c r="AP42" s="431">
        <v>38858.769999999997</v>
      </c>
      <c r="AQ42" s="430"/>
      <c r="AR42" s="430"/>
      <c r="AS42" s="430"/>
      <c r="AT42" s="430"/>
      <c r="AU42" s="430"/>
      <c r="AW42" s="405" t="s">
        <v>15</v>
      </c>
      <c r="AX42" s="406">
        <v>455474.7</v>
      </c>
      <c r="AY42" s="406"/>
      <c r="AZ42" s="406"/>
      <c r="BA42" s="406"/>
      <c r="BB42" s="406">
        <v>489808.12986841134</v>
      </c>
      <c r="BC42" s="406">
        <f>AX42-BB42</f>
        <v>-34333.429868411331</v>
      </c>
    </row>
    <row r="43" spans="1:55" x14ac:dyDescent="0.3">
      <c r="A43" s="33"/>
      <c r="B43" s="69"/>
      <c r="C43" s="69"/>
      <c r="D43" s="69"/>
      <c r="E43" s="69"/>
      <c r="F43" s="69"/>
      <c r="G43" s="6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139" t="s">
        <v>148</v>
      </c>
      <c r="S43" s="501">
        <f>Tabelas_Coeficientes!B41</f>
        <v>5.0500000000000003E-2</v>
      </c>
      <c r="T43" s="502"/>
      <c r="U43" s="502"/>
      <c r="V43" s="502"/>
      <c r="W43" s="502"/>
      <c r="X43" s="502"/>
      <c r="Z43" s="501">
        <v>5.0500000000000003E-2</v>
      </c>
      <c r="AA43" s="502"/>
      <c r="AB43" s="502"/>
      <c r="AC43" s="502"/>
      <c r="AD43" s="502"/>
      <c r="AE43" s="502"/>
      <c r="AG43" s="228" t="s">
        <v>228</v>
      </c>
      <c r="AH43" s="280" t="s">
        <v>229</v>
      </c>
      <c r="AI43" s="411">
        <f>Tabelas_Prc_Insumos!D41</f>
        <v>49</v>
      </c>
      <c r="AJ43" s="411"/>
      <c r="AK43" s="311"/>
      <c r="AL43" s="311"/>
      <c r="AM43" s="311"/>
      <c r="AN43" s="311"/>
      <c r="AP43" s="429">
        <v>45</v>
      </c>
      <c r="AQ43" s="311"/>
      <c r="AR43" s="311"/>
      <c r="AS43" s="311"/>
      <c r="AT43" s="311"/>
      <c r="AU43" s="311"/>
      <c r="AW43" s="405" t="s">
        <v>362</v>
      </c>
      <c r="AX43" s="406">
        <v>35383.980000000003</v>
      </c>
      <c r="AY43" s="406"/>
      <c r="AZ43" s="406"/>
      <c r="BA43" s="406"/>
      <c r="BB43" s="406">
        <v>39100.406247380422</v>
      </c>
      <c r="BC43" s="406">
        <f t="shared" ref="BC43:BC68" si="3">AX43-BB43</f>
        <v>-3716.4262473804192</v>
      </c>
    </row>
    <row r="44" spans="1:55" x14ac:dyDescent="0.3">
      <c r="A44" s="33"/>
      <c r="B44" s="74"/>
      <c r="C44" s="74"/>
      <c r="D44" s="74"/>
      <c r="E44" s="74"/>
      <c r="F44" s="74"/>
      <c r="G44" s="74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70" t="s">
        <v>193</v>
      </c>
      <c r="S44" s="493">
        <f>Tabelas_Coeficientes!B42</f>
        <v>0.03</v>
      </c>
      <c r="T44" s="494"/>
      <c r="U44" s="494"/>
      <c r="V44" s="494"/>
      <c r="W44" s="494"/>
      <c r="X44" s="494"/>
      <c r="Z44" s="493">
        <v>0.03</v>
      </c>
      <c r="AA44" s="494"/>
      <c r="AB44" s="494"/>
      <c r="AC44" s="494"/>
      <c r="AD44" s="494"/>
      <c r="AE44" s="494"/>
      <c r="AG44" s="228" t="s">
        <v>139</v>
      </c>
      <c r="AH44" s="280" t="s">
        <v>216</v>
      </c>
      <c r="AI44" s="307">
        <f>Tabelas_Prc_Insumos!D42</f>
        <v>63046.48</v>
      </c>
      <c r="AJ44" s="307"/>
      <c r="AK44" s="311"/>
      <c r="AL44" s="311"/>
      <c r="AM44" s="311"/>
      <c r="AN44" s="311"/>
      <c r="AP44" s="395">
        <v>63046.48</v>
      </c>
      <c r="AQ44" s="311"/>
      <c r="AR44" s="311"/>
      <c r="AS44" s="311"/>
      <c r="AT44" s="311"/>
      <c r="AU44" s="311"/>
      <c r="AW44" s="405" t="s">
        <v>364</v>
      </c>
      <c r="AX44" s="406">
        <v>12652.065599999998</v>
      </c>
      <c r="AY44" s="406"/>
      <c r="AZ44" s="406"/>
      <c r="BA44" s="406"/>
      <c r="BB44" s="406">
        <v>13215.733689535551</v>
      </c>
      <c r="BC44" s="406">
        <f t="shared" si="3"/>
        <v>-563.66808953555301</v>
      </c>
    </row>
    <row r="45" spans="1:55" x14ac:dyDescent="0.3">
      <c r="A45" s="33"/>
      <c r="B45" s="526"/>
      <c r="C45" s="526"/>
      <c r="D45" s="526"/>
      <c r="E45" s="526"/>
      <c r="F45" s="526"/>
      <c r="G45" s="526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170" t="s">
        <v>156</v>
      </c>
      <c r="S45" s="491">
        <f>Tabelas_Coeficientes!B43</f>
        <v>0</v>
      </c>
      <c r="T45" s="492"/>
      <c r="U45" s="492"/>
      <c r="V45" s="492"/>
      <c r="W45" s="492"/>
      <c r="X45" s="492"/>
      <c r="Y45" s="446"/>
      <c r="Z45" s="491">
        <v>0</v>
      </c>
      <c r="AA45" s="492"/>
      <c r="AB45" s="492"/>
      <c r="AC45" s="492"/>
      <c r="AD45" s="492"/>
      <c r="AE45" s="492"/>
      <c r="AG45" s="228" t="s">
        <v>142</v>
      </c>
      <c r="AH45" s="280" t="s">
        <v>216</v>
      </c>
      <c r="AI45" s="307">
        <f>Tabelas_Prc_Insumos!D43</f>
        <v>0</v>
      </c>
      <c r="AJ45" s="307"/>
      <c r="AK45" s="311"/>
      <c r="AL45" s="311"/>
      <c r="AM45" s="311"/>
      <c r="AN45" s="311"/>
      <c r="AP45" s="395">
        <v>0</v>
      </c>
      <c r="AQ45" s="311"/>
      <c r="AR45" s="311"/>
      <c r="AS45" s="311"/>
      <c r="AT45" s="311"/>
      <c r="AU45" s="311"/>
      <c r="AW45" s="405" t="s">
        <v>25</v>
      </c>
      <c r="AX45" s="406">
        <v>45548.66</v>
      </c>
      <c r="AY45" s="406"/>
      <c r="AZ45" s="406"/>
      <c r="BA45" s="406"/>
      <c r="BB45" s="406">
        <v>41743.709634143241</v>
      </c>
      <c r="BC45" s="406">
        <f t="shared" si="3"/>
        <v>3804.9503658567628</v>
      </c>
    </row>
    <row r="46" spans="1:55" x14ac:dyDescent="0.3">
      <c r="A46" s="33"/>
      <c r="B46" s="526"/>
      <c r="C46" s="526"/>
      <c r="D46" s="526"/>
      <c r="E46" s="526"/>
      <c r="F46" s="526"/>
      <c r="G46" s="526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170" t="s">
        <v>157</v>
      </c>
      <c r="S46" s="491">
        <f>Tabelas_Coeficientes!B44</f>
        <v>0</v>
      </c>
      <c r="T46" s="492"/>
      <c r="U46" s="492"/>
      <c r="V46" s="492"/>
      <c r="W46" s="492"/>
      <c r="X46" s="492"/>
      <c r="Y46" s="446"/>
      <c r="Z46" s="491">
        <v>0</v>
      </c>
      <c r="AA46" s="492"/>
      <c r="AB46" s="492"/>
      <c r="AC46" s="492"/>
      <c r="AD46" s="492"/>
      <c r="AE46" s="492"/>
      <c r="AW46" s="405" t="s">
        <v>35</v>
      </c>
      <c r="AX46" s="406">
        <v>256362.06</v>
      </c>
      <c r="AY46" s="406"/>
      <c r="AZ46" s="406"/>
      <c r="BA46" s="406"/>
      <c r="BB46" s="406">
        <v>276666.66666666663</v>
      </c>
      <c r="BC46" s="406">
        <f t="shared" si="3"/>
        <v>-20304.60666666663</v>
      </c>
    </row>
    <row r="47" spans="1:55" x14ac:dyDescent="0.3">
      <c r="A47" s="33"/>
      <c r="B47" s="525"/>
      <c r="C47" s="525"/>
      <c r="D47" s="525"/>
      <c r="E47" s="525"/>
      <c r="F47" s="525"/>
      <c r="G47" s="525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170" t="s">
        <v>194</v>
      </c>
      <c r="S47" s="491">
        <f>Tabelas_Coeficientes!B45</f>
        <v>8.5000000000000006E-3</v>
      </c>
      <c r="T47" s="492"/>
      <c r="U47" s="492"/>
      <c r="V47" s="492"/>
      <c r="W47" s="492"/>
      <c r="X47" s="492"/>
      <c r="Y47" s="446"/>
      <c r="Z47" s="491">
        <v>8.5000000000000006E-3</v>
      </c>
      <c r="AA47" s="492"/>
      <c r="AB47" s="492"/>
      <c r="AC47" s="492"/>
      <c r="AD47" s="492"/>
      <c r="AE47" s="492"/>
      <c r="AW47" s="405" t="s">
        <v>38</v>
      </c>
      <c r="AX47" s="406">
        <v>29302.080000000002</v>
      </c>
      <c r="AY47" s="406"/>
      <c r="AZ47" s="406"/>
      <c r="BA47" s="406"/>
      <c r="BB47" s="406">
        <v>31125</v>
      </c>
      <c r="BC47" s="406">
        <f t="shared" si="3"/>
        <v>-1822.9199999999983</v>
      </c>
    </row>
    <row r="48" spans="1:55" x14ac:dyDescent="0.3">
      <c r="A48" s="33"/>
      <c r="B48" s="525"/>
      <c r="C48" s="525"/>
      <c r="D48" s="525"/>
      <c r="E48" s="525"/>
      <c r="F48" s="525"/>
      <c r="G48" s="525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170" t="s">
        <v>195</v>
      </c>
      <c r="S48" s="491">
        <f>Tabelas_Coeficientes!B46</f>
        <v>1.2E-2</v>
      </c>
      <c r="T48" s="492"/>
      <c r="U48" s="492"/>
      <c r="V48" s="492"/>
      <c r="W48" s="492"/>
      <c r="X48" s="492"/>
      <c r="Y48" s="446"/>
      <c r="Z48" s="491">
        <v>1.2E-2</v>
      </c>
      <c r="AA48" s="492"/>
      <c r="AB48" s="492"/>
      <c r="AC48" s="492"/>
      <c r="AD48" s="492"/>
      <c r="AE48" s="492"/>
      <c r="AW48" s="403" t="s">
        <v>146</v>
      </c>
      <c r="AX48" s="404">
        <f>AX49+AX52+AX56+AX60</f>
        <v>1150825.9230757575</v>
      </c>
      <c r="AY48" s="404"/>
      <c r="AZ48" s="404"/>
      <c r="BA48" s="404"/>
      <c r="BB48" s="404">
        <v>1118330.2161088057</v>
      </c>
      <c r="BC48" s="404">
        <f t="shared" si="3"/>
        <v>32495.706966951722</v>
      </c>
    </row>
    <row r="49" spans="1:55" x14ac:dyDescent="0.3">
      <c r="A49" s="33"/>
      <c r="B49" s="526"/>
      <c r="C49" s="526"/>
      <c r="D49" s="526"/>
      <c r="E49" s="526"/>
      <c r="F49" s="526"/>
      <c r="G49" s="526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170" t="s">
        <v>155</v>
      </c>
      <c r="S49" s="493">
        <f>Tabelas_Coeficientes!B47</f>
        <v>0</v>
      </c>
      <c r="T49" s="494"/>
      <c r="U49" s="494"/>
      <c r="V49" s="494"/>
      <c r="W49" s="494"/>
      <c r="X49" s="494"/>
      <c r="Z49" s="493">
        <v>0</v>
      </c>
      <c r="AA49" s="494"/>
      <c r="AB49" s="494"/>
      <c r="AC49" s="494"/>
      <c r="AD49" s="494"/>
      <c r="AE49" s="494"/>
      <c r="AW49" s="405" t="s">
        <v>40</v>
      </c>
      <c r="AX49" s="406">
        <f>SUM(AX50:AX51)</f>
        <v>68415.313075757585</v>
      </c>
      <c r="AY49" s="406"/>
      <c r="AZ49" s="406"/>
      <c r="BA49" s="406"/>
      <c r="BB49" s="406">
        <v>65517.516523159371</v>
      </c>
      <c r="BC49" s="406">
        <f t="shared" si="3"/>
        <v>2897.7965525982145</v>
      </c>
    </row>
    <row r="50" spans="1:55" x14ac:dyDescent="0.3">
      <c r="A50" s="33"/>
      <c r="B50" s="525"/>
      <c r="C50" s="525"/>
      <c r="D50" s="525"/>
      <c r="E50" s="525"/>
      <c r="F50" s="525"/>
      <c r="G50" s="525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142" t="s">
        <v>196</v>
      </c>
      <c r="S50" s="495">
        <f>Tabelas_Coeficientes!B48</f>
        <v>5.0200000000000002E-2</v>
      </c>
      <c r="T50" s="496"/>
      <c r="U50" s="496"/>
      <c r="V50" s="496"/>
      <c r="W50" s="496"/>
      <c r="X50" s="496"/>
      <c r="Z50" s="495">
        <v>5.0200000000000002E-2</v>
      </c>
      <c r="AA50" s="496"/>
      <c r="AB50" s="496"/>
      <c r="AC50" s="496"/>
      <c r="AD50" s="496"/>
      <c r="AE50" s="496"/>
      <c r="AW50" s="407" t="s">
        <v>153</v>
      </c>
      <c r="AX50" s="408">
        <v>32756.593075757577</v>
      </c>
      <c r="AY50" s="408"/>
      <c r="AZ50" s="408"/>
      <c r="BA50" s="408"/>
      <c r="BB50" s="408">
        <v>30569.029439393937</v>
      </c>
      <c r="BC50" s="408">
        <f t="shared" si="3"/>
        <v>2187.5636363636404</v>
      </c>
    </row>
    <row r="51" spans="1:55" x14ac:dyDescent="0.3">
      <c r="A51" s="33"/>
      <c r="B51" s="525"/>
      <c r="C51" s="525"/>
      <c r="D51" s="525"/>
      <c r="E51" s="525"/>
      <c r="F51" s="525"/>
      <c r="G51" s="525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AW51" s="407" t="s">
        <v>154</v>
      </c>
      <c r="AX51" s="408">
        <v>35658.720000000001</v>
      </c>
      <c r="AY51" s="408"/>
      <c r="AZ51" s="408"/>
      <c r="BA51" s="408"/>
      <c r="BB51" s="408">
        <v>34948.487083765431</v>
      </c>
      <c r="BC51" s="408">
        <f t="shared" si="3"/>
        <v>710.23291623457044</v>
      </c>
    </row>
    <row r="52" spans="1:55" x14ac:dyDescent="0.3">
      <c r="A52" s="33"/>
      <c r="B52" s="526"/>
      <c r="C52" s="526"/>
      <c r="D52" s="526"/>
      <c r="E52" s="526"/>
      <c r="F52" s="526"/>
      <c r="G52" s="526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AW52" s="405" t="s">
        <v>365</v>
      </c>
      <c r="AX52" s="406">
        <f>SUM(AX53:AX55)</f>
        <v>907005</v>
      </c>
      <c r="AY52" s="406"/>
      <c r="AZ52" s="406"/>
      <c r="BA52" s="406"/>
      <c r="BB52" s="406">
        <v>898907.19458564627</v>
      </c>
      <c r="BC52" s="406">
        <f t="shared" si="3"/>
        <v>8097.8054143537302</v>
      </c>
    </row>
    <row r="53" spans="1:55" x14ac:dyDescent="0.3">
      <c r="A53" s="33"/>
      <c r="B53" s="526"/>
      <c r="C53" s="526"/>
      <c r="D53" s="526"/>
      <c r="E53" s="526"/>
      <c r="F53" s="526"/>
      <c r="G53" s="526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AW53" s="407" t="s">
        <v>366</v>
      </c>
      <c r="AX53" s="408">
        <v>625520.68999999994</v>
      </c>
      <c r="AY53" s="408"/>
      <c r="AZ53" s="408"/>
      <c r="BA53" s="408"/>
      <c r="BB53" s="408">
        <v>559887.611869963</v>
      </c>
      <c r="BC53" s="408">
        <f t="shared" si="3"/>
        <v>65633.078130036942</v>
      </c>
    </row>
    <row r="54" spans="1:55" x14ac:dyDescent="0.3">
      <c r="A54" s="33"/>
      <c r="B54" s="525"/>
      <c r="C54" s="525"/>
      <c r="D54" s="525"/>
      <c r="E54" s="525"/>
      <c r="F54" s="525"/>
      <c r="G54" s="525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AW54" s="407" t="s">
        <v>113</v>
      </c>
      <c r="AX54" s="408"/>
      <c r="AY54" s="408"/>
      <c r="AZ54" s="408"/>
      <c r="BA54" s="408"/>
      <c r="BB54" s="408">
        <v>60048.384395999994</v>
      </c>
      <c r="BC54" s="408">
        <f t="shared" si="3"/>
        <v>-60048.384395999994</v>
      </c>
    </row>
    <row r="55" spans="1:55" x14ac:dyDescent="0.3"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AW55" s="407" t="s">
        <v>118</v>
      </c>
      <c r="AX55" s="408">
        <v>281484.31</v>
      </c>
      <c r="AY55" s="408"/>
      <c r="AZ55" s="408"/>
      <c r="BA55" s="408"/>
      <c r="BB55" s="408">
        <v>278971.19831968338</v>
      </c>
      <c r="BC55" s="408">
        <f t="shared" si="3"/>
        <v>2513.1116803166224</v>
      </c>
    </row>
    <row r="56" spans="1:55" x14ac:dyDescent="0.3">
      <c r="A56" s="45"/>
      <c r="B56" s="365"/>
      <c r="C56" s="365"/>
      <c r="D56" s="365"/>
      <c r="E56" s="365"/>
      <c r="F56" s="365"/>
      <c r="G56" s="365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AW56" s="405" t="s">
        <v>120</v>
      </c>
      <c r="AX56" s="406">
        <f>SUM(AX57:AX59)</f>
        <v>72029.490000000005</v>
      </c>
      <c r="AY56" s="406"/>
      <c r="AZ56" s="406"/>
      <c r="BA56" s="406"/>
      <c r="BB56" s="406">
        <v>74659.024999999994</v>
      </c>
      <c r="BC56" s="406">
        <f t="shared" si="3"/>
        <v>-2629.5349999999889</v>
      </c>
    </row>
    <row r="57" spans="1:55" x14ac:dyDescent="0.3">
      <c r="A57" s="33"/>
      <c r="B57" s="526"/>
      <c r="C57" s="526"/>
      <c r="D57" s="526"/>
      <c r="E57" s="526"/>
      <c r="F57" s="526"/>
      <c r="G57" s="526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AW57" s="407" t="s">
        <v>122</v>
      </c>
      <c r="AX57" s="408">
        <v>71236.308333333334</v>
      </c>
      <c r="AY57" s="408"/>
      <c r="AZ57" s="408"/>
      <c r="BA57" s="408"/>
      <c r="BB57" s="408">
        <v>73881.5</v>
      </c>
      <c r="BC57" s="408">
        <f t="shared" si="3"/>
        <v>-2645.1916666666657</v>
      </c>
    </row>
    <row r="58" spans="1:55" x14ac:dyDescent="0.3">
      <c r="A58" s="416"/>
      <c r="B58" s="526"/>
      <c r="C58" s="526"/>
      <c r="D58" s="526"/>
      <c r="E58" s="526"/>
      <c r="F58" s="526"/>
      <c r="G58" s="526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AW58" s="407" t="s">
        <v>367</v>
      </c>
      <c r="AX58" s="408">
        <v>356.18166666666662</v>
      </c>
      <c r="AY58" s="408"/>
      <c r="AZ58" s="408"/>
      <c r="BA58" s="408"/>
      <c r="BB58" s="408">
        <v>341.02499999999998</v>
      </c>
      <c r="BC58" s="408">
        <f t="shared" si="3"/>
        <v>15.156666666666638</v>
      </c>
    </row>
    <row r="59" spans="1:55" x14ac:dyDescent="0.3">
      <c r="A59" s="416"/>
      <c r="B59" s="526"/>
      <c r="C59" s="526"/>
      <c r="D59" s="526"/>
      <c r="E59" s="526"/>
      <c r="F59" s="526"/>
      <c r="G59" s="526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AW59" s="407" t="s">
        <v>132</v>
      </c>
      <c r="AX59" s="408">
        <v>437</v>
      </c>
      <c r="AY59" s="408"/>
      <c r="AZ59" s="408"/>
      <c r="BA59" s="408"/>
      <c r="BB59" s="408">
        <v>436.5</v>
      </c>
      <c r="BC59" s="408">
        <f t="shared" si="3"/>
        <v>0.5</v>
      </c>
    </row>
    <row r="60" spans="1:55" x14ac:dyDescent="0.3">
      <c r="A60" s="416"/>
      <c r="B60" s="526"/>
      <c r="C60" s="526"/>
      <c r="D60" s="526"/>
      <c r="E60" s="526"/>
      <c r="F60" s="526"/>
      <c r="G60" s="526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AW60" s="405" t="s">
        <v>134</v>
      </c>
      <c r="AX60" s="406">
        <f>40329.64+63046.48</f>
        <v>103376.12</v>
      </c>
      <c r="AY60" s="406"/>
      <c r="AZ60" s="406"/>
      <c r="BA60" s="406"/>
      <c r="BB60" s="406">
        <v>79246.48000000001</v>
      </c>
      <c r="BC60" s="406">
        <f t="shared" si="3"/>
        <v>24129.639999999985</v>
      </c>
    </row>
    <row r="61" spans="1:55" x14ac:dyDescent="0.3">
      <c r="A61" s="416"/>
      <c r="B61" s="526"/>
      <c r="C61" s="526"/>
      <c r="D61" s="526"/>
      <c r="E61" s="526"/>
      <c r="F61" s="526"/>
      <c r="G61" s="526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AW61" s="403" t="s">
        <v>368</v>
      </c>
      <c r="AX61" s="404">
        <v>99674.58</v>
      </c>
      <c r="AY61" s="404"/>
      <c r="AZ61" s="404"/>
      <c r="BA61" s="404"/>
      <c r="BB61" s="404">
        <v>100901.49108319014</v>
      </c>
      <c r="BC61" s="404">
        <f t="shared" si="3"/>
        <v>-1226.9110831901344</v>
      </c>
    </row>
    <row r="62" spans="1:55" x14ac:dyDescent="0.3">
      <c r="A62" s="416"/>
      <c r="B62" s="526"/>
      <c r="C62" s="526"/>
      <c r="D62" s="526"/>
      <c r="E62" s="526"/>
      <c r="F62" s="526"/>
      <c r="G62" s="52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AW62" s="403" t="s">
        <v>148</v>
      </c>
      <c r="AX62" s="404">
        <f>(AX41+AX48+AX61)/(1-5.85%)-(AX41+AX48+AX61)</f>
        <v>129565.16924857348</v>
      </c>
      <c r="AY62" s="404"/>
      <c r="AZ62" s="404"/>
      <c r="BA62" s="404"/>
      <c r="BB62" s="404">
        <v>107596.66908561159</v>
      </c>
      <c r="BC62" s="404">
        <f t="shared" si="3"/>
        <v>21968.500162961893</v>
      </c>
    </row>
    <row r="63" spans="1:55" x14ac:dyDescent="0.3">
      <c r="A63" s="416"/>
      <c r="B63" s="526"/>
      <c r="C63" s="526"/>
      <c r="D63" s="526"/>
      <c r="E63" s="526"/>
      <c r="F63" s="526"/>
      <c r="G63" s="526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AW63" s="405" t="s">
        <v>193</v>
      </c>
      <c r="AX63" s="406">
        <f>AX62*0.03/0.0585</f>
        <v>66443.676537729989</v>
      </c>
      <c r="AY63" s="406"/>
      <c r="AZ63" s="406"/>
      <c r="BA63" s="406"/>
      <c r="BB63" s="406">
        <v>66554.640671512316</v>
      </c>
      <c r="BC63" s="406">
        <f t="shared" si="3"/>
        <v>-110.96413378232683</v>
      </c>
    </row>
    <row r="64" spans="1:55" x14ac:dyDescent="0.3">
      <c r="A64" s="33"/>
      <c r="B64" s="528"/>
      <c r="C64" s="528"/>
      <c r="D64" s="528"/>
      <c r="E64" s="528"/>
      <c r="F64" s="528"/>
      <c r="G64" s="52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AW64" s="405" t="s">
        <v>156</v>
      </c>
      <c r="AX64" s="406">
        <v>0</v>
      </c>
      <c r="AY64" s="406"/>
      <c r="AZ64" s="406"/>
      <c r="BA64" s="406"/>
      <c r="BB64" s="406">
        <v>0</v>
      </c>
      <c r="BC64" s="406">
        <f t="shared" si="3"/>
        <v>0</v>
      </c>
    </row>
    <row r="65" spans="1:55" x14ac:dyDescent="0.3">
      <c r="AW65" s="405" t="s">
        <v>157</v>
      </c>
      <c r="AX65" s="406">
        <v>0</v>
      </c>
      <c r="AY65" s="406"/>
      <c r="AZ65" s="406"/>
      <c r="BA65" s="406"/>
      <c r="BB65" s="406">
        <v>0</v>
      </c>
      <c r="BC65" s="406">
        <f t="shared" si="3"/>
        <v>0</v>
      </c>
    </row>
    <row r="66" spans="1:55" x14ac:dyDescent="0.3">
      <c r="A66" s="417"/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AW66" s="405" t="s">
        <v>194</v>
      </c>
      <c r="AX66" s="406">
        <f>AX62*0.0085/0.0585</f>
        <v>18825.708352356829</v>
      </c>
      <c r="AY66" s="406"/>
      <c r="AZ66" s="406"/>
      <c r="BA66" s="406"/>
      <c r="BB66" s="406">
        <v>18857.148190261825</v>
      </c>
      <c r="BC66" s="406">
        <f t="shared" si="3"/>
        <v>-31.439837904996239</v>
      </c>
    </row>
    <row r="67" spans="1:55" x14ac:dyDescent="0.3">
      <c r="B67" s="19"/>
      <c r="C67" s="19"/>
      <c r="D67" s="19"/>
      <c r="E67" s="19"/>
      <c r="F67" s="19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AW67" s="405" t="s">
        <v>195</v>
      </c>
      <c r="AX67" s="406">
        <f>AX62*0.02/0.0585</f>
        <v>44295.784358486657</v>
      </c>
      <c r="AY67" s="406"/>
      <c r="AZ67" s="406"/>
      <c r="BA67" s="406"/>
      <c r="BB67" s="406">
        <v>22184.880223837441</v>
      </c>
      <c r="BC67" s="406">
        <f t="shared" si="3"/>
        <v>22110.904134649216</v>
      </c>
    </row>
    <row r="68" spans="1:55" x14ac:dyDescent="0.3">
      <c r="A68" s="45"/>
      <c r="B68" s="12"/>
      <c r="C68" s="12"/>
      <c r="D68" s="12"/>
      <c r="E68" s="12"/>
      <c r="F68" s="12"/>
      <c r="G68" s="120"/>
      <c r="H68" s="365"/>
      <c r="I68" s="365"/>
      <c r="J68" s="365"/>
      <c r="K68" s="365"/>
      <c r="L68" s="365"/>
      <c r="M68" s="365"/>
      <c r="N68" s="365"/>
      <c r="O68" s="365"/>
      <c r="P68" s="365"/>
      <c r="Q68" s="365"/>
      <c r="R68" s="365"/>
      <c r="AI68">
        <v>2928.68</v>
      </c>
      <c r="AW68" s="403" t="s">
        <v>149</v>
      </c>
      <c r="AX68" s="404">
        <f>AX41+AX48+AX61+AX62</f>
        <v>2214789.2179243308</v>
      </c>
      <c r="AY68" s="404"/>
      <c r="AZ68" s="404"/>
      <c r="BA68" s="404"/>
      <c r="BB68" s="404">
        <v>2218488.0223837448</v>
      </c>
      <c r="BC68" s="404">
        <f t="shared" si="3"/>
        <v>-3698.8044594139792</v>
      </c>
    </row>
    <row r="69" spans="1:55" x14ac:dyDescent="0.3">
      <c r="A69" s="160"/>
      <c r="B69" s="177"/>
      <c r="C69" s="177"/>
      <c r="D69" s="374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/>
      <c r="R69" s="374"/>
      <c r="AI69">
        <v>1626.72</v>
      </c>
      <c r="AW69" s="409"/>
      <c r="AX69" s="409"/>
      <c r="AY69" s="409"/>
      <c r="AZ69" s="409"/>
      <c r="BA69" s="409"/>
      <c r="BB69" s="409"/>
      <c r="BC69" s="409"/>
    </row>
    <row r="70" spans="1:55" x14ac:dyDescent="0.3">
      <c r="A70" s="160"/>
      <c r="B70" s="177"/>
      <c r="C70" s="177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5"/>
      <c r="R70" s="375"/>
      <c r="AI70">
        <v>2471.4</v>
      </c>
      <c r="AW70" s="403" t="s">
        <v>373</v>
      </c>
      <c r="AX70" s="404">
        <f>AX68/$H$11</f>
        <v>14.115119068532275</v>
      </c>
      <c r="AY70" s="404"/>
      <c r="AZ70" s="404"/>
      <c r="BA70" s="404"/>
      <c r="BB70" s="404">
        <f>BB68/$P$11</f>
        <v>14.210410149712907</v>
      </c>
      <c r="BC70" s="404">
        <f>AX70-BB70</f>
        <v>-9.5291081180631565E-2</v>
      </c>
    </row>
    <row r="71" spans="1:55" x14ac:dyDescent="0.3">
      <c r="A71" s="160"/>
      <c r="B71" s="177"/>
      <c r="C71" s="177"/>
      <c r="D71" s="376"/>
      <c r="E71" s="376"/>
      <c r="F71" s="376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AI71">
        <v>475</v>
      </c>
      <c r="AW71" s="403" t="s">
        <v>18</v>
      </c>
      <c r="AX71" s="404">
        <f>AX68/$H$9</f>
        <v>9.2696930369162711</v>
      </c>
      <c r="AY71" s="404"/>
      <c r="AZ71" s="404"/>
      <c r="BA71" s="404"/>
      <c r="BB71" s="404" t="e">
        <f>BB68/#REF!</f>
        <v>#REF!</v>
      </c>
      <c r="BC71" s="404" t="e">
        <f>AX71-BB71</f>
        <v>#REF!</v>
      </c>
    </row>
    <row r="72" spans="1:55" x14ac:dyDescent="0.3">
      <c r="A72" s="160"/>
      <c r="B72" s="177"/>
      <c r="C72" s="177"/>
      <c r="D72" s="177"/>
      <c r="E72" s="177"/>
      <c r="F72" s="177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AI72">
        <v>475</v>
      </c>
    </row>
    <row r="73" spans="1:55" x14ac:dyDescent="0.3">
      <c r="A73" s="160"/>
      <c r="B73" s="177"/>
      <c r="C73" s="177"/>
      <c r="D73" s="177"/>
      <c r="E73" s="177"/>
      <c r="F73" s="177"/>
      <c r="G73" s="177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AI73">
        <v>475</v>
      </c>
    </row>
    <row r="74" spans="1:55" x14ac:dyDescent="0.3">
      <c r="A74" s="160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</row>
    <row r="75" spans="1:55" x14ac:dyDescent="0.3">
      <c r="A75" s="160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</row>
    <row r="76" spans="1:55" x14ac:dyDescent="0.3">
      <c r="A76" s="160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</row>
    <row r="77" spans="1:55" x14ac:dyDescent="0.3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55" x14ac:dyDescent="0.3">
      <c r="A78" s="45"/>
      <c r="B78" s="12"/>
      <c r="C78" s="12"/>
      <c r="D78" s="12"/>
      <c r="E78" s="12"/>
      <c r="F78" s="12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</row>
    <row r="79" spans="1:55" x14ac:dyDescent="0.3">
      <c r="A79" s="418"/>
      <c r="B79" s="65"/>
      <c r="C79" s="65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</row>
    <row r="80" spans="1:55" x14ac:dyDescent="0.3">
      <c r="A80" s="418"/>
      <c r="B80" s="65"/>
      <c r="C80" s="65"/>
      <c r="D80" s="377"/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377"/>
      <c r="R80" s="377"/>
    </row>
    <row r="81" spans="1:18" x14ac:dyDescent="0.3">
      <c r="A81" s="418"/>
      <c r="B81" s="65"/>
      <c r="C81" s="65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</row>
    <row r="82" spans="1:18" x14ac:dyDescent="0.3">
      <c r="A82" s="418"/>
      <c r="B82" s="65"/>
      <c r="C82" s="65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</row>
    <row r="83" spans="1:18" x14ac:dyDescent="0.3">
      <c r="A83" s="418"/>
      <c r="B83" s="65"/>
      <c r="C83" s="65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</row>
    <row r="84" spans="1:18" x14ac:dyDescent="0.3">
      <c r="A84" s="418"/>
      <c r="B84" s="65"/>
      <c r="C84" s="65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</row>
    <row r="85" spans="1:18" x14ac:dyDescent="0.3">
      <c r="B85" s="65"/>
      <c r="C85" s="65"/>
      <c r="D85" s="65"/>
      <c r="E85" s="65"/>
      <c r="F85" s="65"/>
      <c r="G85" s="65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</row>
    <row r="86" spans="1:18" x14ac:dyDescent="0.3">
      <c r="A86" s="45"/>
      <c r="B86" s="12"/>
      <c r="C86" s="12"/>
      <c r="D86" s="12"/>
      <c r="E86" s="12"/>
      <c r="F86" s="12"/>
      <c r="G86" s="120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1:18" x14ac:dyDescent="0.3">
      <c r="A87" s="418"/>
      <c r="B87" s="65"/>
      <c r="C87" s="65"/>
      <c r="D87" s="377"/>
      <c r="E87" s="377"/>
      <c r="F87" s="377"/>
      <c r="G87" s="377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</row>
    <row r="88" spans="1:18" x14ac:dyDescent="0.3">
      <c r="A88" s="418"/>
      <c r="B88" s="65"/>
      <c r="C88" s="65"/>
      <c r="D88" s="377"/>
      <c r="E88" s="377"/>
      <c r="F88" s="377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</row>
    <row r="89" spans="1:18" x14ac:dyDescent="0.3">
      <c r="A89" s="418"/>
      <c r="B89" s="65"/>
      <c r="C89" s="65"/>
      <c r="D89" s="377"/>
      <c r="E89" s="377"/>
      <c r="F89" s="377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</row>
    <row r="90" spans="1:18" x14ac:dyDescent="0.3">
      <c r="A90" s="418"/>
      <c r="B90" s="65"/>
      <c r="C90" s="65"/>
      <c r="D90" s="377"/>
      <c r="E90" s="377"/>
      <c r="F90" s="37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</row>
    <row r="91" spans="1:18" x14ac:dyDescent="0.3">
      <c r="A91" s="418"/>
      <c r="B91" s="65"/>
      <c r="C91" s="65"/>
      <c r="D91" s="377"/>
      <c r="E91" s="377"/>
      <c r="F91" s="37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</row>
    <row r="92" spans="1:18" x14ac:dyDescent="0.3">
      <c r="B92" s="19"/>
      <c r="C92" s="19"/>
      <c r="D92" s="19"/>
      <c r="E92" s="19"/>
      <c r="F92" s="19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</row>
    <row r="93" spans="1:18" x14ac:dyDescent="0.3">
      <c r="A93" s="45"/>
      <c r="B93" s="12"/>
      <c r="C93" s="12"/>
      <c r="D93" s="12"/>
      <c r="E93" s="12"/>
      <c r="F93" s="12"/>
      <c r="G93" s="365"/>
      <c r="H93" s="365"/>
      <c r="I93" s="365"/>
      <c r="J93" s="365"/>
      <c r="K93" s="365"/>
      <c r="L93" s="365"/>
      <c r="M93" s="365"/>
      <c r="N93" s="365"/>
      <c r="O93" s="365"/>
      <c r="P93" s="365"/>
      <c r="Q93" s="365"/>
      <c r="R93" s="365"/>
    </row>
    <row r="94" spans="1:18" x14ac:dyDescent="0.3">
      <c r="A94" s="418"/>
      <c r="B94" s="65"/>
      <c r="C94" s="65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x14ac:dyDescent="0.3">
      <c r="A95" s="418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1:18" x14ac:dyDescent="0.3">
      <c r="A96" s="418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1:18" x14ac:dyDescent="0.3">
      <c r="A97" s="418"/>
      <c r="B97" s="65"/>
      <c r="C97" s="65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</row>
    <row r="98" spans="1:18" x14ac:dyDescent="0.3">
      <c r="A98" s="418"/>
      <c r="B98" s="65"/>
      <c r="C98" s="65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</row>
    <row r="99" spans="1:18" x14ac:dyDescent="0.3">
      <c r="A99" s="418"/>
      <c r="B99" s="65"/>
      <c r="C99" s="65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77"/>
      <c r="R99" s="377"/>
    </row>
    <row r="100" spans="1:18" x14ac:dyDescent="0.3">
      <c r="A100" s="418"/>
      <c r="B100" s="65"/>
      <c r="C100" s="65"/>
      <c r="D100" s="377"/>
      <c r="E100" s="377"/>
      <c r="F100" s="377"/>
      <c r="G100" s="377"/>
      <c r="H100" s="377"/>
      <c r="I100" s="377"/>
      <c r="J100" s="377"/>
      <c r="K100" s="377"/>
      <c r="L100" s="377"/>
      <c r="M100" s="377"/>
      <c r="N100" s="377"/>
      <c r="O100" s="377"/>
      <c r="P100" s="377"/>
      <c r="Q100" s="377"/>
      <c r="R100" s="377"/>
    </row>
    <row r="101" spans="1:18" x14ac:dyDescent="0.3">
      <c r="A101" s="418"/>
      <c r="B101" s="65"/>
      <c r="C101" s="65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377"/>
      <c r="R101" s="377"/>
    </row>
    <row r="102" spans="1:18" x14ac:dyDescent="0.3">
      <c r="B102" s="19"/>
      <c r="C102" s="19"/>
      <c r="D102" s="19"/>
      <c r="E102" s="19"/>
      <c r="F102" s="19"/>
      <c r="G102" s="378"/>
      <c r="H102" s="378"/>
      <c r="I102" s="378"/>
      <c r="J102" s="378"/>
      <c r="K102" s="378"/>
      <c r="L102" s="378"/>
      <c r="M102" s="378"/>
      <c r="N102" s="378"/>
      <c r="O102" s="378"/>
      <c r="P102" s="378"/>
      <c r="Q102" s="378"/>
      <c r="R102" s="378"/>
    </row>
    <row r="103" spans="1:18" x14ac:dyDescent="0.3">
      <c r="A103" s="45"/>
      <c r="B103" s="12"/>
      <c r="C103" s="12"/>
      <c r="D103" s="12"/>
      <c r="E103" s="12"/>
      <c r="F103" s="12"/>
      <c r="G103" s="365"/>
      <c r="H103" s="365"/>
      <c r="I103" s="365"/>
      <c r="J103" s="365"/>
      <c r="K103" s="365"/>
      <c r="L103" s="365"/>
      <c r="M103" s="365"/>
      <c r="N103" s="365"/>
      <c r="O103" s="365"/>
      <c r="P103" s="365"/>
      <c r="Q103" s="365"/>
      <c r="R103" s="365"/>
    </row>
    <row r="104" spans="1:18" x14ac:dyDescent="0.3">
      <c r="A104" s="418"/>
      <c r="B104" s="65"/>
      <c r="C104" s="65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</row>
    <row r="105" spans="1:18" x14ac:dyDescent="0.3">
      <c r="A105" s="418"/>
      <c r="B105" s="65"/>
      <c r="C105" s="65"/>
      <c r="D105" s="377"/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377"/>
      <c r="Q105" s="377"/>
      <c r="R105" s="377"/>
    </row>
    <row r="106" spans="1:18" x14ac:dyDescent="0.3">
      <c r="A106" s="418"/>
      <c r="B106" s="65"/>
      <c r="C106" s="65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</row>
    <row r="107" spans="1:18" x14ac:dyDescent="0.3">
      <c r="A107" s="418"/>
      <c r="B107" s="65"/>
      <c r="C107" s="65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</row>
    <row r="110" spans="1:18" x14ac:dyDescent="0.3">
      <c r="A110" s="186"/>
      <c r="B110" s="19"/>
      <c r="C110" s="19"/>
      <c r="D110" s="19"/>
      <c r="E110" s="19"/>
      <c r="F110" s="19"/>
      <c r="G110" s="19"/>
    </row>
    <row r="111" spans="1:18" x14ac:dyDescent="0.3">
      <c r="A111" s="417"/>
      <c r="B111" s="419"/>
      <c r="C111" s="419"/>
      <c r="D111" s="419"/>
      <c r="E111" s="419"/>
      <c r="F111" s="419"/>
      <c r="G111" s="19"/>
    </row>
    <row r="112" spans="1:18" x14ac:dyDescent="0.3">
      <c r="A112" s="193"/>
      <c r="B112" s="193"/>
      <c r="C112" s="193"/>
      <c r="D112" s="193"/>
      <c r="E112" s="193"/>
      <c r="F112" s="193"/>
      <c r="G112" s="19"/>
    </row>
    <row r="113" spans="1:7" x14ac:dyDescent="0.3">
      <c r="B113" s="19"/>
      <c r="C113" s="19"/>
      <c r="D113" s="19"/>
      <c r="E113" s="19"/>
      <c r="F113" s="19"/>
      <c r="G113" s="19"/>
    </row>
    <row r="114" spans="1:7" x14ac:dyDescent="0.3">
      <c r="B114" s="19"/>
      <c r="C114" s="19"/>
      <c r="D114" s="19"/>
      <c r="E114" s="19"/>
      <c r="F114" s="19"/>
      <c r="G114" s="19"/>
    </row>
    <row r="115" spans="1:7" x14ac:dyDescent="0.3">
      <c r="B115" s="19"/>
      <c r="C115" s="19"/>
      <c r="D115" s="19"/>
      <c r="E115" s="19"/>
      <c r="F115" s="19"/>
      <c r="G115" s="19"/>
    </row>
    <row r="116" spans="1:7" x14ac:dyDescent="0.3">
      <c r="A116" s="186"/>
      <c r="B116" s="193"/>
      <c r="C116" s="193"/>
      <c r="D116" s="193"/>
      <c r="E116" s="193"/>
      <c r="F116" s="193"/>
      <c r="G116" s="193"/>
    </row>
    <row r="117" spans="1:7" x14ac:dyDescent="0.3">
      <c r="A117" s="186"/>
      <c r="B117" s="420"/>
      <c r="C117" s="420"/>
      <c r="D117" s="420"/>
      <c r="E117" s="420"/>
      <c r="F117" s="420"/>
      <c r="G117" s="193"/>
    </row>
    <row r="118" spans="1:7" x14ac:dyDescent="0.3">
      <c r="A118" s="186"/>
      <c r="B118" s="95"/>
      <c r="C118" s="95"/>
      <c r="D118" s="95"/>
      <c r="E118" s="95"/>
      <c r="F118" s="95"/>
      <c r="G118" s="52"/>
    </row>
    <row r="119" spans="1:7" x14ac:dyDescent="0.3">
      <c r="B119" s="19"/>
      <c r="C119" s="19"/>
      <c r="D119" s="19"/>
      <c r="E119" s="19"/>
      <c r="F119" s="19"/>
      <c r="G119" s="19"/>
    </row>
    <row r="120" spans="1:7" x14ac:dyDescent="0.3">
      <c r="A120" s="186"/>
      <c r="B120" s="389"/>
      <c r="C120" s="389"/>
      <c r="D120" s="389"/>
      <c r="E120" s="389"/>
      <c r="F120" s="389"/>
      <c r="G120" s="197"/>
    </row>
    <row r="121" spans="1:7" x14ac:dyDescent="0.3">
      <c r="B121" s="19"/>
      <c r="C121" s="19"/>
      <c r="D121" s="19"/>
      <c r="E121" s="19"/>
      <c r="F121" s="19"/>
      <c r="G121" s="19"/>
    </row>
    <row r="122" spans="1:7" x14ac:dyDescent="0.3">
      <c r="A122" s="186"/>
      <c r="B122" s="198"/>
      <c r="C122" s="198"/>
      <c r="D122" s="198"/>
      <c r="E122" s="198"/>
      <c r="F122" s="198"/>
      <c r="G122" s="19"/>
    </row>
    <row r="123" spans="1:7" x14ac:dyDescent="0.3">
      <c r="B123" s="19"/>
      <c r="C123" s="19"/>
      <c r="D123" s="19"/>
      <c r="E123" s="19"/>
      <c r="F123" s="19"/>
      <c r="G123" s="19"/>
    </row>
    <row r="124" spans="1:7" x14ac:dyDescent="0.3">
      <c r="A124" s="186"/>
      <c r="B124" s="120"/>
      <c r="C124" s="120"/>
      <c r="D124" s="120"/>
      <c r="E124" s="120"/>
      <c r="F124" s="120"/>
      <c r="G124" s="120"/>
    </row>
    <row r="127" spans="1:7" x14ac:dyDescent="0.3">
      <c r="A127" s="186"/>
    </row>
    <row r="128" spans="1:7" x14ac:dyDescent="0.3">
      <c r="A128" s="419"/>
      <c r="B128" s="419"/>
      <c r="C128" s="419"/>
      <c r="D128" s="419"/>
      <c r="E128" s="419"/>
      <c r="F128" s="419"/>
      <c r="G128" s="419"/>
    </row>
    <row r="129" spans="1:7" x14ac:dyDescent="0.3">
      <c r="A129" s="421"/>
      <c r="B129" s="421"/>
      <c r="C129" s="421"/>
      <c r="D129" s="421"/>
      <c r="E129" s="421"/>
      <c r="F129" s="421"/>
      <c r="G129" s="421"/>
    </row>
    <row r="130" spans="1:7" x14ac:dyDescent="0.3">
      <c r="A130" s="421"/>
      <c r="B130" s="421"/>
      <c r="C130" s="421"/>
      <c r="D130" s="421"/>
      <c r="E130" s="421"/>
      <c r="F130" s="421"/>
      <c r="G130" s="421"/>
    </row>
    <row r="131" spans="1:7" x14ac:dyDescent="0.3">
      <c r="A131" s="421"/>
      <c r="B131" s="421"/>
      <c r="C131" s="421"/>
      <c r="D131" s="421"/>
      <c r="E131" s="421"/>
      <c r="F131" s="421"/>
      <c r="G131" s="421"/>
    </row>
    <row r="132" spans="1:7" x14ac:dyDescent="0.3">
      <c r="A132" s="421"/>
      <c r="B132" s="421"/>
      <c r="C132" s="421"/>
      <c r="D132" s="421"/>
      <c r="E132" s="421"/>
      <c r="F132" s="421"/>
      <c r="G132" s="421"/>
    </row>
    <row r="133" spans="1:7" x14ac:dyDescent="0.3">
      <c r="A133" s="421"/>
      <c r="B133" s="421"/>
      <c r="C133" s="421"/>
      <c r="D133" s="421"/>
      <c r="E133" s="421"/>
      <c r="F133" s="421"/>
      <c r="G133" s="421"/>
    </row>
    <row r="134" spans="1:7" x14ac:dyDescent="0.3">
      <c r="A134" s="421"/>
      <c r="B134" s="421"/>
      <c r="C134" s="421"/>
      <c r="D134" s="421"/>
      <c r="E134" s="421"/>
      <c r="F134" s="421"/>
      <c r="G134" s="421"/>
    </row>
    <row r="135" spans="1:7" x14ac:dyDescent="0.3">
      <c r="A135" s="421"/>
      <c r="B135" s="421"/>
      <c r="C135" s="421"/>
      <c r="D135" s="421"/>
      <c r="E135" s="421"/>
      <c r="F135" s="421"/>
      <c r="G135" s="421"/>
    </row>
    <row r="136" spans="1:7" x14ac:dyDescent="0.3">
      <c r="A136" s="421"/>
      <c r="B136" s="421"/>
      <c r="C136" s="421"/>
      <c r="D136" s="421"/>
      <c r="E136" s="421"/>
      <c r="F136" s="421"/>
      <c r="G136" s="421"/>
    </row>
    <row r="137" spans="1:7" x14ac:dyDescent="0.3">
      <c r="A137" s="421"/>
      <c r="B137" s="421"/>
      <c r="C137" s="421"/>
      <c r="D137" s="421"/>
      <c r="E137" s="421"/>
      <c r="F137" s="421"/>
      <c r="G137" s="421"/>
    </row>
    <row r="138" spans="1:7" x14ac:dyDescent="0.3">
      <c r="A138" s="421"/>
      <c r="B138" s="421"/>
      <c r="C138" s="421"/>
      <c r="D138" s="421"/>
      <c r="E138" s="421"/>
      <c r="F138" s="421"/>
      <c r="G138" s="421"/>
    </row>
    <row r="139" spans="1:7" x14ac:dyDescent="0.3">
      <c r="A139" s="421"/>
      <c r="B139" s="421"/>
      <c r="C139" s="421"/>
      <c r="D139" s="421"/>
      <c r="E139" s="421"/>
      <c r="F139" s="421"/>
      <c r="G139" s="421"/>
    </row>
    <row r="140" spans="1:7" x14ac:dyDescent="0.3">
      <c r="A140" s="421"/>
      <c r="B140" s="421"/>
      <c r="C140" s="421"/>
      <c r="D140" s="421"/>
      <c r="E140" s="421"/>
      <c r="F140" s="421"/>
      <c r="G140" s="421"/>
    </row>
    <row r="141" spans="1:7" x14ac:dyDescent="0.3">
      <c r="A141" s="421"/>
      <c r="B141" s="421"/>
      <c r="C141" s="421"/>
      <c r="D141" s="421"/>
      <c r="E141" s="421"/>
      <c r="F141" s="421"/>
      <c r="G141" s="421"/>
    </row>
    <row r="142" spans="1:7" x14ac:dyDescent="0.3">
      <c r="A142" s="12"/>
      <c r="B142" s="236"/>
      <c r="C142" s="236"/>
      <c r="D142" s="236"/>
      <c r="E142" s="236"/>
      <c r="F142" s="236"/>
      <c r="G142" s="236"/>
    </row>
  </sheetData>
  <mergeCells count="100">
    <mergeCell ref="S39:X39"/>
    <mergeCell ref="S40:X40"/>
    <mergeCell ref="S43:X43"/>
    <mergeCell ref="S44:X44"/>
    <mergeCell ref="S34:X34"/>
    <mergeCell ref="S35:X35"/>
    <mergeCell ref="S36:X36"/>
    <mergeCell ref="S37:X37"/>
    <mergeCell ref="S38:X38"/>
    <mergeCell ref="B64:G64"/>
    <mergeCell ref="B51:G51"/>
    <mergeCell ref="B52:G52"/>
    <mergeCell ref="B53:G53"/>
    <mergeCell ref="B54:G54"/>
    <mergeCell ref="B57:G57"/>
    <mergeCell ref="B58:G58"/>
    <mergeCell ref="B59:G59"/>
    <mergeCell ref="B60:G60"/>
    <mergeCell ref="B61:G61"/>
    <mergeCell ref="B62:G62"/>
    <mergeCell ref="B63:G63"/>
    <mergeCell ref="B50:G50"/>
    <mergeCell ref="B33:G33"/>
    <mergeCell ref="B34:G34"/>
    <mergeCell ref="B35:G35"/>
    <mergeCell ref="B36:G36"/>
    <mergeCell ref="B37:G37"/>
    <mergeCell ref="B40:G40"/>
    <mergeCell ref="B45:G45"/>
    <mergeCell ref="B46:G46"/>
    <mergeCell ref="B47:G47"/>
    <mergeCell ref="B48:G48"/>
    <mergeCell ref="B49:G49"/>
    <mergeCell ref="B32:G32"/>
    <mergeCell ref="B11:G11"/>
    <mergeCell ref="J11:M11"/>
    <mergeCell ref="B21:G21"/>
    <mergeCell ref="B22:G22"/>
    <mergeCell ref="B27:G27"/>
    <mergeCell ref="B30:G30"/>
    <mergeCell ref="B31:G31"/>
    <mergeCell ref="S7:X7"/>
    <mergeCell ref="S8:X8"/>
    <mergeCell ref="S13:X13"/>
    <mergeCell ref="S16:X16"/>
    <mergeCell ref="S17:X17"/>
    <mergeCell ref="S18:X18"/>
    <mergeCell ref="S19:X19"/>
    <mergeCell ref="S20:X20"/>
    <mergeCell ref="S21:X21"/>
    <mergeCell ref="S22:X22"/>
    <mergeCell ref="S23:X23"/>
    <mergeCell ref="S26:X26"/>
    <mergeCell ref="S31:X31"/>
    <mergeCell ref="S32:X32"/>
    <mergeCell ref="S33:X33"/>
    <mergeCell ref="S45:X45"/>
    <mergeCell ref="S46:X46"/>
    <mergeCell ref="S47:X47"/>
    <mergeCell ref="S48:X48"/>
    <mergeCell ref="S49:X49"/>
    <mergeCell ref="S50:X50"/>
    <mergeCell ref="Z7:AE7"/>
    <mergeCell ref="Z8:AE8"/>
    <mergeCell ref="Z13:AE13"/>
    <mergeCell ref="Z16:AE16"/>
    <mergeCell ref="Z17:AE17"/>
    <mergeCell ref="Z18:AE18"/>
    <mergeCell ref="Z19:AE19"/>
    <mergeCell ref="Z20:AE20"/>
    <mergeCell ref="Z21:AE21"/>
    <mergeCell ref="Z22:AE22"/>
    <mergeCell ref="Z23:AE23"/>
    <mergeCell ref="Z26:AE26"/>
    <mergeCell ref="Z31:AE31"/>
    <mergeCell ref="Z32:AE32"/>
    <mergeCell ref="Z33:AE33"/>
    <mergeCell ref="Z34:AE34"/>
    <mergeCell ref="Z35:AE35"/>
    <mergeCell ref="Z36:AE36"/>
    <mergeCell ref="Z37:AE37"/>
    <mergeCell ref="Z38:AE38"/>
    <mergeCell ref="Z50:AE50"/>
    <mergeCell ref="Z39:AE39"/>
    <mergeCell ref="Z40:AE40"/>
    <mergeCell ref="Z43:AE43"/>
    <mergeCell ref="Z44:AE44"/>
    <mergeCell ref="Z45:AE45"/>
    <mergeCell ref="AI42:AN42"/>
    <mergeCell ref="Z46:AE46"/>
    <mergeCell ref="Z47:AE47"/>
    <mergeCell ref="Z48:AE48"/>
    <mergeCell ref="Z49:AE49"/>
    <mergeCell ref="AI19:AN19"/>
    <mergeCell ref="AI20:AN20"/>
    <mergeCell ref="AI21:AN21"/>
    <mergeCell ref="AI6:AN6"/>
    <mergeCell ref="AI16:AN16"/>
    <mergeCell ref="AI17:AN17"/>
    <mergeCell ref="AI18:AN18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D84A-6578-41DB-B431-7C3B2BD21F40}">
  <sheetPr codeName="Planilha4">
    <tabColor theme="5" tint="0.79998168889431442"/>
  </sheetPr>
  <dimension ref="A1:M17"/>
  <sheetViews>
    <sheetView workbookViewId="0">
      <selection activeCell="K10" sqref="K10"/>
    </sheetView>
  </sheetViews>
  <sheetFormatPr defaultRowHeight="14.4" x14ac:dyDescent="0.3"/>
  <cols>
    <col min="1" max="1" width="18.88671875" style="147" customWidth="1"/>
    <col min="2" max="2" width="20.6640625" style="267" customWidth="1"/>
    <col min="3" max="5" width="20.6640625" style="147" customWidth="1"/>
    <col min="6" max="6" width="20.88671875" style="147" customWidth="1"/>
    <col min="7" max="7" width="21.33203125" style="147" customWidth="1"/>
    <col min="8" max="8" width="21.6640625" style="147" hidden="1" customWidth="1"/>
    <col min="9" max="9" width="12.88671875" style="275" customWidth="1"/>
    <col min="10" max="10" width="29.6640625" bestFit="1" customWidth="1"/>
    <col min="11" max="11" width="13.44140625" customWidth="1"/>
    <col min="12" max="12" width="13.5546875" customWidth="1"/>
    <col min="13" max="13" width="12" customWidth="1"/>
  </cols>
  <sheetData>
    <row r="1" spans="1:13" x14ac:dyDescent="0.3">
      <c r="A1" s="263" t="s">
        <v>1</v>
      </c>
      <c r="B1" s="264" t="str">
        <f>'Tarifa_Técnica - PLANUM'!E4</f>
        <v>Microônibus - Sem Ar</v>
      </c>
      <c r="C1" s="268" t="str">
        <f>'Tarifa_Técnica - PLANUM'!F4</f>
        <v>Microônibus - Com Ar</v>
      </c>
      <c r="D1" s="268" t="str">
        <f>'Tarifa_Técnica - PLANUM'!G4</f>
        <v>Midiônibus - Sem Ar</v>
      </c>
      <c r="E1" s="268" t="str">
        <f>'Tarifa_Técnica - PLANUM'!H4</f>
        <v>Midiônibus - Com Ar</v>
      </c>
      <c r="F1" s="268" t="str">
        <f>'Tarifa_Técnica - PLANUM'!I4</f>
        <v>Básico - Sem Ar</v>
      </c>
      <c r="G1" s="268" t="str">
        <f>'Tarifa_Técnica - PLANUM'!J4</f>
        <v>Básico - Com Ar</v>
      </c>
      <c r="H1" s="268" t="str">
        <f>'Tarifa_Técnica - PLANUM'!K4</f>
        <v>Ônibus Padron</v>
      </c>
      <c r="I1" s="264" t="s">
        <v>6</v>
      </c>
      <c r="J1" s="259" t="s">
        <v>158</v>
      </c>
      <c r="L1" s="137" t="s">
        <v>159</v>
      </c>
      <c r="M1" s="138">
        <v>45505</v>
      </c>
    </row>
    <row r="3" spans="1:13" x14ac:dyDescent="0.3">
      <c r="A3" s="151" t="s">
        <v>160</v>
      </c>
      <c r="B3" s="265"/>
      <c r="C3" s="269"/>
      <c r="D3" s="269"/>
      <c r="E3" s="269"/>
      <c r="F3" s="269"/>
      <c r="G3" s="269"/>
      <c r="H3" s="269"/>
      <c r="I3" s="271"/>
      <c r="J3" s="270"/>
    </row>
    <row r="4" spans="1:13" x14ac:dyDescent="0.3">
      <c r="A4" s="139" t="s">
        <v>6</v>
      </c>
      <c r="B4" s="140">
        <f>Planilha1!D18</f>
        <v>10</v>
      </c>
      <c r="C4" s="140">
        <f>Planilha1!E18</f>
        <v>1</v>
      </c>
      <c r="D4" s="140">
        <f>Planilha1!F18</f>
        <v>11</v>
      </c>
      <c r="E4" s="140">
        <f>Planilha1!G18</f>
        <v>22</v>
      </c>
      <c r="F4" s="140">
        <f>Planilha1!H18</f>
        <v>0</v>
      </c>
      <c r="G4" s="140">
        <f>Planilha1!I18</f>
        <v>5</v>
      </c>
      <c r="H4" s="260">
        <v>0</v>
      </c>
      <c r="I4" s="140">
        <f>SUM(B4:H4)</f>
        <v>49</v>
      </c>
      <c r="J4" s="141" t="s">
        <v>352</v>
      </c>
      <c r="K4" s="452">
        <f>I4*0.749</f>
        <v>36.701000000000001</v>
      </c>
      <c r="L4">
        <f>I4*0.75</f>
        <v>36.75</v>
      </c>
    </row>
    <row r="5" spans="1:13" x14ac:dyDescent="0.3">
      <c r="A5" s="142" t="s">
        <v>161</v>
      </c>
      <c r="B5" s="261">
        <f>'Comparação IBETA x PLANUM'!J7</f>
        <v>8</v>
      </c>
      <c r="C5" s="261">
        <f>'Comparação IBETA x PLANUM'!K7</f>
        <v>1</v>
      </c>
      <c r="D5" s="261">
        <f>'Comparação IBETA x PLANUM'!L7</f>
        <v>7</v>
      </c>
      <c r="E5" s="261">
        <f>'Comparação IBETA x PLANUM'!M7</f>
        <v>22</v>
      </c>
      <c r="F5" s="261">
        <f>'Comparação IBETA x PLANUM'!N7</f>
        <v>0</v>
      </c>
      <c r="G5" s="261">
        <f>'Comparação IBETA x PLANUM'!O7</f>
        <v>6</v>
      </c>
      <c r="H5" s="261">
        <f>INT(H4*0.88)</f>
        <v>0</v>
      </c>
      <c r="I5" s="272">
        <f>SUM(B5:H5)</f>
        <v>44</v>
      </c>
      <c r="J5" s="144" t="s">
        <v>355</v>
      </c>
      <c r="K5" s="452"/>
    </row>
    <row r="6" spans="1:13" x14ac:dyDescent="0.3">
      <c r="A6" s="146" t="s">
        <v>162</v>
      </c>
      <c r="B6" s="261">
        <f>$K$6*B4/$I$4</f>
        <v>2.4510204081632652</v>
      </c>
      <c r="C6" s="261">
        <f t="shared" ref="C6:D6" si="0">$K$6*C4/$I$4</f>
        <v>0.24510204081632653</v>
      </c>
      <c r="D6" s="261">
        <f t="shared" si="0"/>
        <v>2.6961224489795916</v>
      </c>
      <c r="E6" s="261">
        <f>$K$6*E4/$I$4</f>
        <v>5.3922448979591833</v>
      </c>
      <c r="F6" s="261">
        <f>$K$6*F4/$I$4</f>
        <v>0</v>
      </c>
      <c r="G6" s="261">
        <f>$K$6*G4/$I$4</f>
        <v>1.2255102040816326</v>
      </c>
      <c r="H6" s="143">
        <f>0.119*H4</f>
        <v>0</v>
      </c>
      <c r="I6" s="143">
        <f>SUM(B6:H6)</f>
        <v>12.01</v>
      </c>
      <c r="J6" s="336" t="str">
        <f>J4</f>
        <v>Relação de Frota</v>
      </c>
      <c r="K6" s="452">
        <f>ROUND(I4*0.245,2)</f>
        <v>12.01</v>
      </c>
    </row>
    <row r="7" spans="1:13" x14ac:dyDescent="0.3">
      <c r="B7" s="148"/>
      <c r="C7" s="149"/>
      <c r="D7" s="149"/>
      <c r="E7" s="149"/>
      <c r="F7" s="149"/>
      <c r="G7" s="149"/>
      <c r="H7" s="149"/>
      <c r="I7" s="273"/>
      <c r="J7" s="150"/>
    </row>
    <row r="8" spans="1:13" x14ac:dyDescent="0.3">
      <c r="A8" s="151" t="s">
        <v>163</v>
      </c>
      <c r="B8" s="152">
        <v>48761</v>
      </c>
      <c r="C8" s="152">
        <v>4876</v>
      </c>
      <c r="D8" s="152">
        <v>53637</v>
      </c>
      <c r="E8" s="152">
        <v>107274</v>
      </c>
      <c r="F8" s="152">
        <v>0</v>
      </c>
      <c r="G8" s="152">
        <v>24380</v>
      </c>
      <c r="H8" s="262">
        <v>0</v>
      </c>
      <c r="I8" s="152">
        <f>SUM(B8:G8)</f>
        <v>238928</v>
      </c>
      <c r="J8" s="154" t="s">
        <v>355</v>
      </c>
    </row>
    <row r="9" spans="1:13" x14ac:dyDescent="0.3">
      <c r="B9" s="266"/>
      <c r="C9" s="155"/>
      <c r="D9" s="155"/>
      <c r="E9" s="155"/>
      <c r="F9" s="155"/>
      <c r="G9" s="155"/>
      <c r="H9" s="155"/>
      <c r="I9" s="274"/>
      <c r="J9" s="34"/>
    </row>
    <row r="10" spans="1:13" x14ac:dyDescent="0.3">
      <c r="A10" s="151" t="s">
        <v>164</v>
      </c>
      <c r="B10" s="522"/>
      <c r="C10" s="522"/>
      <c r="D10" s="522"/>
      <c r="E10" s="522"/>
      <c r="F10" s="522"/>
      <c r="G10" s="522"/>
      <c r="H10" s="262"/>
      <c r="I10" s="152">
        <v>156909</v>
      </c>
      <c r="J10" s="156" t="s">
        <v>359</v>
      </c>
    </row>
    <row r="12" spans="1:13" x14ac:dyDescent="0.3">
      <c r="I12" s="322"/>
    </row>
    <row r="15" spans="1:13" x14ac:dyDescent="0.3">
      <c r="B15" s="147"/>
    </row>
    <row r="17" spans="3:7" x14ac:dyDescent="0.3">
      <c r="C17" s="267"/>
      <c r="D17" s="267"/>
      <c r="E17" s="267"/>
      <c r="F17" s="267"/>
      <c r="G17" s="267"/>
    </row>
  </sheetData>
  <mergeCells count="1">
    <mergeCell ref="B10:G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31DE-33E5-4117-83B8-3909E2A81141}">
  <sheetPr codeName="Planilha5">
    <tabColor theme="5" tint="0.79998168889431442"/>
  </sheetPr>
  <dimension ref="A1:S52"/>
  <sheetViews>
    <sheetView topLeftCell="A13" workbookViewId="0">
      <selection activeCell="B57" sqref="B57"/>
    </sheetView>
  </sheetViews>
  <sheetFormatPr defaultRowHeight="14.4" x14ac:dyDescent="0.3"/>
  <cols>
    <col min="1" max="1" width="49.6640625" style="147" customWidth="1"/>
    <col min="2" max="2" width="20.33203125" style="267" bestFit="1" customWidth="1"/>
    <col min="3" max="5" width="20.33203125" style="147" customWidth="1"/>
    <col min="6" max="6" width="19.5546875" style="147" customWidth="1"/>
    <col min="7" max="7" width="19.44140625" style="147" customWidth="1"/>
    <col min="8" max="8" width="15" style="147" customWidth="1"/>
    <col min="9" max="9" width="28.44140625" style="164" bestFit="1" customWidth="1"/>
    <col min="10" max="10" width="4.5546875" style="34" customWidth="1"/>
    <col min="11" max="11" width="19.44140625" customWidth="1"/>
    <col min="15" max="15" width="20.33203125" bestFit="1" customWidth="1"/>
  </cols>
  <sheetData>
    <row r="1" spans="1:19" x14ac:dyDescent="0.3">
      <c r="A1" s="276" t="s">
        <v>165</v>
      </c>
      <c r="B1" s="157" t="str">
        <f>'Tarifa_Técnica - PLANUM'!E4</f>
        <v>Microônibus - Sem Ar</v>
      </c>
      <c r="C1" s="256" t="str">
        <f>'Tarifa_Técnica - PLANUM'!F4</f>
        <v>Microônibus - Com Ar</v>
      </c>
      <c r="D1" s="256" t="str">
        <f>'Tarifa_Técnica - PLANUM'!G4</f>
        <v>Midiônibus - Sem Ar</v>
      </c>
      <c r="E1" s="256" t="str">
        <f>'Tarifa_Técnica - PLANUM'!H4</f>
        <v>Midiônibus - Com Ar</v>
      </c>
      <c r="F1" s="256" t="str">
        <f>'Tarifa_Técnica - PLANUM'!I4</f>
        <v>Básico - Sem Ar</v>
      </c>
      <c r="G1" s="256" t="str">
        <f>'Tarifa_Técnica - PLANUM'!J4</f>
        <v>Básico - Com Ar</v>
      </c>
      <c r="H1" s="256" t="str">
        <f>'Tarifa_Técnica - PLANUM'!K4</f>
        <v>Ônibus Padron</v>
      </c>
      <c r="I1" s="158" t="s">
        <v>158</v>
      </c>
    </row>
    <row r="2" spans="1:19" hidden="1" x14ac:dyDescent="0.3">
      <c r="B2" s="148"/>
      <c r="C2" s="149"/>
      <c r="D2" s="149"/>
      <c r="E2" s="149"/>
      <c r="F2" s="149"/>
      <c r="G2" s="149"/>
      <c r="H2" s="149"/>
      <c r="I2" s="18"/>
    </row>
    <row r="3" spans="1:19" x14ac:dyDescent="0.3">
      <c r="A3" s="151" t="s">
        <v>13</v>
      </c>
      <c r="B3" s="159"/>
      <c r="C3" s="257"/>
      <c r="D3" s="257"/>
      <c r="E3" s="257"/>
      <c r="F3" s="257"/>
      <c r="G3" s="289"/>
      <c r="H3" s="290"/>
      <c r="I3" s="160"/>
      <c r="J3"/>
      <c r="O3" s="552" t="s">
        <v>199</v>
      </c>
      <c r="P3" s="553" t="s">
        <v>324</v>
      </c>
      <c r="Q3" s="553"/>
      <c r="R3" s="553" t="s">
        <v>325</v>
      </c>
      <c r="S3" s="553"/>
    </row>
    <row r="4" spans="1:19" x14ac:dyDescent="0.3">
      <c r="A4" s="139" t="s">
        <v>166</v>
      </c>
      <c r="B4" s="161">
        <v>0.26</v>
      </c>
      <c r="C4" s="258">
        <v>0.33800000000000002</v>
      </c>
      <c r="D4" s="258">
        <v>0.35</v>
      </c>
      <c r="E4" s="258">
        <v>0.45500000000000002</v>
      </c>
      <c r="F4" s="258">
        <v>0.41</v>
      </c>
      <c r="G4" s="258">
        <v>0.52</v>
      </c>
      <c r="H4" s="258">
        <f>G4</f>
        <v>0.52</v>
      </c>
      <c r="I4" s="162" t="s">
        <v>347</v>
      </c>
      <c r="J4"/>
      <c r="K4" s="331" t="s">
        <v>346</v>
      </c>
      <c r="O4" s="552"/>
      <c r="P4" s="229" t="s">
        <v>8</v>
      </c>
      <c r="Q4" s="229" t="s">
        <v>326</v>
      </c>
      <c r="R4" s="229" t="s">
        <v>8</v>
      </c>
      <c r="S4" s="229" t="s">
        <v>326</v>
      </c>
    </row>
    <row r="5" spans="1:19" x14ac:dyDescent="0.3">
      <c r="A5" s="142" t="s">
        <v>167</v>
      </c>
      <c r="B5" s="507">
        <v>2.5999999999999999E-2</v>
      </c>
      <c r="C5" s="508"/>
      <c r="D5" s="508"/>
      <c r="E5" s="508"/>
      <c r="F5" s="508"/>
      <c r="G5" s="508"/>
      <c r="H5" s="554"/>
      <c r="I5" s="163" t="str">
        <f>I4</f>
        <v>Edital - Anexo IV</v>
      </c>
      <c r="J5"/>
      <c r="K5" s="331" t="s">
        <v>354</v>
      </c>
      <c r="O5" s="230" t="s">
        <v>327</v>
      </c>
      <c r="P5" s="231">
        <v>0.23190532525674795</v>
      </c>
      <c r="Q5" s="231">
        <v>0.28021893468523706</v>
      </c>
      <c r="R5" s="231">
        <f>P5*1.3</f>
        <v>0.30147692283377236</v>
      </c>
      <c r="S5" s="231">
        <f>Q5*1.3</f>
        <v>0.36428461509080817</v>
      </c>
    </row>
    <row r="6" spans="1:19" x14ac:dyDescent="0.3">
      <c r="A6" s="146" t="s">
        <v>168</v>
      </c>
      <c r="B6" s="507">
        <v>0.04</v>
      </c>
      <c r="C6" s="508"/>
      <c r="D6" s="508"/>
      <c r="E6" s="508"/>
      <c r="F6" s="508"/>
      <c r="G6" s="508"/>
      <c r="H6" s="554"/>
      <c r="I6" s="163" t="str">
        <f t="shared" ref="I6:I11" si="0">I5</f>
        <v>Edital - Anexo IV</v>
      </c>
      <c r="J6"/>
      <c r="O6" s="230" t="s">
        <v>328</v>
      </c>
      <c r="P6" s="231">
        <v>0.28988165657093495</v>
      </c>
      <c r="Q6" s="231">
        <v>0.32853254411372629</v>
      </c>
      <c r="R6" s="231">
        <f t="shared" ref="R6:S11" si="1">P6*1.3</f>
        <v>0.37684615354221546</v>
      </c>
      <c r="S6" s="231">
        <f t="shared" si="1"/>
        <v>0.4270923073478442</v>
      </c>
    </row>
    <row r="7" spans="1:19" x14ac:dyDescent="0.3">
      <c r="A7" s="146" t="s">
        <v>28</v>
      </c>
      <c r="B7" s="280">
        <v>6</v>
      </c>
      <c r="C7" s="284">
        <f t="shared" ref="C7:H8" si="2">B7</f>
        <v>6</v>
      </c>
      <c r="D7" s="284">
        <f t="shared" si="2"/>
        <v>6</v>
      </c>
      <c r="E7" s="284">
        <f t="shared" si="2"/>
        <v>6</v>
      </c>
      <c r="F7" s="284">
        <f t="shared" si="2"/>
        <v>6</v>
      </c>
      <c r="G7" s="284">
        <f t="shared" si="2"/>
        <v>6</v>
      </c>
      <c r="H7" s="284">
        <f t="shared" si="2"/>
        <v>6</v>
      </c>
      <c r="I7" s="163" t="str">
        <f t="shared" si="0"/>
        <v>Edital - Anexo IV</v>
      </c>
      <c r="J7"/>
      <c r="O7" s="230" t="s">
        <v>329</v>
      </c>
      <c r="P7" s="231">
        <v>0.32853254411372629</v>
      </c>
      <c r="Q7" s="231">
        <v>0.36718343165651801</v>
      </c>
      <c r="R7" s="231">
        <f t="shared" si="1"/>
        <v>0.4270923073478442</v>
      </c>
      <c r="S7" s="231">
        <f>Q7*1.3</f>
        <v>0.47733846115347345</v>
      </c>
    </row>
    <row r="8" spans="1:19" x14ac:dyDescent="0.3">
      <c r="A8" s="142" t="s">
        <v>29</v>
      </c>
      <c r="B8" s="280">
        <v>3</v>
      </c>
      <c r="C8" s="284">
        <f t="shared" si="2"/>
        <v>3</v>
      </c>
      <c r="D8" s="284">
        <f t="shared" si="2"/>
        <v>3</v>
      </c>
      <c r="E8" s="284">
        <f t="shared" si="2"/>
        <v>3</v>
      </c>
      <c r="F8" s="284">
        <f t="shared" si="2"/>
        <v>3</v>
      </c>
      <c r="G8" s="284">
        <f t="shared" si="2"/>
        <v>3</v>
      </c>
      <c r="H8" s="284">
        <f t="shared" si="2"/>
        <v>3</v>
      </c>
      <c r="I8" s="163" t="str">
        <f t="shared" si="0"/>
        <v>Edital - Anexo IV</v>
      </c>
      <c r="J8"/>
      <c r="O8" s="230" t="s">
        <v>330</v>
      </c>
      <c r="P8" s="231">
        <v>0.35752070977081973</v>
      </c>
      <c r="Q8" s="231">
        <v>0.4348224848564024</v>
      </c>
      <c r="R8" s="231">
        <f t="shared" si="1"/>
        <v>0.46477692270206566</v>
      </c>
      <c r="S8" s="231">
        <f t="shared" si="1"/>
        <v>0.5652692303133231</v>
      </c>
    </row>
    <row r="9" spans="1:19" x14ac:dyDescent="0.3">
      <c r="A9" s="146" t="s">
        <v>32</v>
      </c>
      <c r="B9" s="281">
        <v>125000</v>
      </c>
      <c r="C9" s="285">
        <f>B9</f>
        <v>125000</v>
      </c>
      <c r="D9" s="285">
        <v>120000</v>
      </c>
      <c r="E9" s="285">
        <f>D9</f>
        <v>120000</v>
      </c>
      <c r="F9" s="285">
        <v>120000</v>
      </c>
      <c r="G9" s="285">
        <v>120000</v>
      </c>
      <c r="H9" s="285">
        <v>125000</v>
      </c>
      <c r="I9" s="163" t="str">
        <f t="shared" si="0"/>
        <v>Edital - Anexo IV</v>
      </c>
      <c r="J9"/>
      <c r="O9" s="230" t="s">
        <v>232</v>
      </c>
      <c r="P9" s="231">
        <v>0.4348224848564024</v>
      </c>
      <c r="Q9" s="231">
        <v>0.62807692257035908</v>
      </c>
      <c r="R9" s="231">
        <f t="shared" si="1"/>
        <v>0.5652692303133231</v>
      </c>
      <c r="S9" s="231">
        <f>Q9*1.3</f>
        <v>0.81649999934146678</v>
      </c>
    </row>
    <row r="10" spans="1:19" x14ac:dyDescent="0.3">
      <c r="A10" s="142" t="s">
        <v>169</v>
      </c>
      <c r="B10" s="286">
        <f>'Peças e Acessórios'!I16</f>
        <v>0.89999999999999991</v>
      </c>
      <c r="C10" s="286">
        <f>'Peças e Acessórios'!J16</f>
        <v>0.06</v>
      </c>
      <c r="D10" s="286">
        <f>'Peças e Acessórios'!K16</f>
        <v>1.3199999999999998</v>
      </c>
      <c r="E10" s="286">
        <f>'Peças e Acessórios'!L16</f>
        <v>1.3199999999999998</v>
      </c>
      <c r="F10" s="286">
        <f>'Peças e Acessórios'!M16</f>
        <v>0</v>
      </c>
      <c r="G10" s="286">
        <f>'Peças e Acessórios'!N16</f>
        <v>0.3</v>
      </c>
      <c r="H10" s="286">
        <f>'Peças e Acessórios'!O16</f>
        <v>0</v>
      </c>
      <c r="I10" s="163" t="str">
        <f t="shared" si="0"/>
        <v>Edital - Anexo IV</v>
      </c>
      <c r="J10"/>
      <c r="O10" s="230" t="s">
        <v>331</v>
      </c>
      <c r="P10" s="231">
        <v>0.62807692257035908</v>
      </c>
      <c r="Q10" s="231">
        <v>0.82133136028431564</v>
      </c>
      <c r="R10" s="231">
        <f t="shared" si="1"/>
        <v>0.81649999934146678</v>
      </c>
      <c r="S10" s="231">
        <f>Q10*1.3</f>
        <v>1.0677307683696105</v>
      </c>
    </row>
    <row r="11" spans="1:19" x14ac:dyDescent="0.3">
      <c r="A11" s="142" t="s">
        <v>170</v>
      </c>
      <c r="B11" s="509">
        <v>1.2500000000000001E-2</v>
      </c>
      <c r="C11" s="510"/>
      <c r="D11" s="510"/>
      <c r="E11" s="510"/>
      <c r="F11" s="510"/>
      <c r="G11" s="510"/>
      <c r="H11" s="555"/>
      <c r="I11" s="234" t="str">
        <f t="shared" si="0"/>
        <v>Edital - Anexo IV</v>
      </c>
      <c r="J11"/>
      <c r="O11" s="230" t="s">
        <v>332</v>
      </c>
      <c r="P11" s="231">
        <v>0.83099408217001347</v>
      </c>
      <c r="Q11" s="231">
        <v>0.91795857914129397</v>
      </c>
      <c r="R11" s="231">
        <f t="shared" si="1"/>
        <v>1.0802923068210175</v>
      </c>
      <c r="S11" s="231">
        <f t="shared" si="1"/>
        <v>1.1933461528836822</v>
      </c>
    </row>
    <row r="13" spans="1:19" x14ac:dyDescent="0.3">
      <c r="A13" s="151" t="s">
        <v>171</v>
      </c>
      <c r="B13" s="159"/>
      <c r="C13" s="257"/>
      <c r="D13" s="257"/>
      <c r="E13" s="257"/>
      <c r="F13" s="257"/>
      <c r="G13" s="257"/>
      <c r="H13" s="257"/>
      <c r="I13" s="165"/>
      <c r="O13" t="str">
        <f t="shared" ref="O13:O19" si="3">O5</f>
        <v>Microônibus</v>
      </c>
      <c r="P13">
        <f t="shared" ref="P13:P19" si="4">(P5+Q5)/2</f>
        <v>0.25606212997099254</v>
      </c>
      <c r="R13" s="232">
        <f>(R5+S5)/2</f>
        <v>0.33288076896229024</v>
      </c>
    </row>
    <row r="14" spans="1:19" x14ac:dyDescent="0.3">
      <c r="A14" s="139" t="s">
        <v>172</v>
      </c>
      <c r="B14" s="511">
        <v>2.44</v>
      </c>
      <c r="C14" s="512"/>
      <c r="D14" s="512"/>
      <c r="E14" s="512"/>
      <c r="F14" s="512"/>
      <c r="G14" s="512"/>
      <c r="H14" s="556"/>
      <c r="I14" s="166" t="str">
        <f>I11</f>
        <v>Edital - Anexo IV</v>
      </c>
      <c r="O14" t="str">
        <f t="shared" si="3"/>
        <v>Miniônibus</v>
      </c>
      <c r="P14">
        <f t="shared" si="4"/>
        <v>0.30920710034233062</v>
      </c>
      <c r="R14" s="232">
        <f t="shared" ref="R14:R19" si="5">(R6+S6)/2</f>
        <v>0.40196923044502986</v>
      </c>
    </row>
    <row r="15" spans="1:19" x14ac:dyDescent="0.3">
      <c r="A15" s="142" t="s">
        <v>173</v>
      </c>
      <c r="B15" s="513">
        <v>0</v>
      </c>
      <c r="C15" s="514"/>
      <c r="D15" s="514"/>
      <c r="E15" s="514"/>
      <c r="F15" s="514"/>
      <c r="G15" s="514"/>
      <c r="H15" s="557"/>
      <c r="I15" s="166" t="str">
        <f t="shared" ref="I15:I20" si="6">I14</f>
        <v>Edital - Anexo IV</v>
      </c>
      <c r="O15" t="str">
        <f t="shared" si="3"/>
        <v>Midiônibs</v>
      </c>
      <c r="P15">
        <f t="shared" si="4"/>
        <v>0.34785798788512212</v>
      </c>
      <c r="R15" s="232">
        <f t="shared" si="5"/>
        <v>0.45221538425065883</v>
      </c>
    </row>
    <row r="16" spans="1:19" x14ac:dyDescent="0.3">
      <c r="A16" s="142" t="s">
        <v>174</v>
      </c>
      <c r="B16" s="515">
        <v>0.5</v>
      </c>
      <c r="C16" s="516"/>
      <c r="D16" s="516"/>
      <c r="E16" s="516"/>
      <c r="F16" s="516"/>
      <c r="G16" s="516"/>
      <c r="H16" s="548"/>
      <c r="I16" s="166" t="str">
        <f t="shared" si="6"/>
        <v>Edital - Anexo IV</v>
      </c>
      <c r="O16" t="str">
        <f t="shared" si="3"/>
        <v>Ônibus Básico</v>
      </c>
      <c r="P16">
        <f t="shared" si="4"/>
        <v>0.39617159731361107</v>
      </c>
      <c r="R16" s="232">
        <f t="shared" si="5"/>
        <v>0.51502307650769441</v>
      </c>
    </row>
    <row r="17" spans="1:18" x14ac:dyDescent="0.3">
      <c r="A17" s="142" t="s">
        <v>175</v>
      </c>
      <c r="B17" s="515">
        <v>2.2448000000000001</v>
      </c>
      <c r="C17" s="516"/>
      <c r="D17" s="516"/>
      <c r="E17" s="516"/>
      <c r="F17" s="516"/>
      <c r="G17" s="516"/>
      <c r="H17" s="548"/>
      <c r="I17" s="166" t="str">
        <f t="shared" si="6"/>
        <v>Edital - Anexo IV</v>
      </c>
      <c r="O17" t="str">
        <f t="shared" si="3"/>
        <v>Ônibus Padron</v>
      </c>
      <c r="P17">
        <f t="shared" si="4"/>
        <v>0.53144970371338074</v>
      </c>
      <c r="R17" s="232">
        <f t="shared" si="5"/>
        <v>0.69088461482739494</v>
      </c>
    </row>
    <row r="18" spans="1:18" x14ac:dyDescent="0.3">
      <c r="A18" s="142" t="s">
        <v>176</v>
      </c>
      <c r="B18" s="515">
        <v>0</v>
      </c>
      <c r="C18" s="516"/>
      <c r="D18" s="516"/>
      <c r="E18" s="516"/>
      <c r="F18" s="516"/>
      <c r="G18" s="516"/>
      <c r="H18" s="548"/>
      <c r="I18" s="166" t="str">
        <f t="shared" si="6"/>
        <v>Edital - Anexo IV</v>
      </c>
      <c r="O18" t="str">
        <f t="shared" si="3"/>
        <v>Ônibus Articulado</v>
      </c>
      <c r="P18">
        <f t="shared" si="4"/>
        <v>0.72470414142733741</v>
      </c>
      <c r="R18" s="232">
        <f t="shared" si="5"/>
        <v>0.94211538385553861</v>
      </c>
    </row>
    <row r="19" spans="1:18" x14ac:dyDescent="0.3">
      <c r="A19" s="142" t="s">
        <v>177</v>
      </c>
      <c r="B19" s="515">
        <v>0.5</v>
      </c>
      <c r="C19" s="516"/>
      <c r="D19" s="516"/>
      <c r="E19" s="516"/>
      <c r="F19" s="516"/>
      <c r="G19" s="516"/>
      <c r="H19" s="548"/>
      <c r="I19" s="166" t="str">
        <f t="shared" si="6"/>
        <v>Edital - Anexo IV</v>
      </c>
      <c r="O19" t="str">
        <f t="shared" si="3"/>
        <v>Ônibus Biarticulado</v>
      </c>
      <c r="P19">
        <f t="shared" si="4"/>
        <v>0.87447633065565378</v>
      </c>
      <c r="R19" s="232">
        <f t="shared" si="5"/>
        <v>1.1368192298523498</v>
      </c>
    </row>
    <row r="20" spans="1:18" x14ac:dyDescent="0.3">
      <c r="A20" s="142" t="s">
        <v>178</v>
      </c>
      <c r="B20" s="493">
        <v>0.45</v>
      </c>
      <c r="C20" s="494"/>
      <c r="D20" s="494"/>
      <c r="E20" s="494"/>
      <c r="F20" s="494"/>
      <c r="G20" s="494"/>
      <c r="H20" s="549"/>
      <c r="I20" s="166" t="str">
        <f t="shared" si="6"/>
        <v>Edital - Anexo IV</v>
      </c>
    </row>
    <row r="21" spans="1:18" x14ac:dyDescent="0.3">
      <c r="A21" s="142" t="s">
        <v>106</v>
      </c>
      <c r="B21" s="505">
        <v>0.52502000000000004</v>
      </c>
      <c r="C21" s="506"/>
      <c r="D21" s="506"/>
      <c r="E21" s="506"/>
      <c r="F21" s="506"/>
      <c r="G21" s="506"/>
      <c r="H21" s="550"/>
      <c r="I21" s="166" t="s">
        <v>358</v>
      </c>
      <c r="J21" s="168"/>
    </row>
    <row r="22" spans="1:18" s="34" customFormat="1" x14ac:dyDescent="0.3">
      <c r="A22" s="277"/>
      <c r="B22" s="267"/>
      <c r="C22" s="147"/>
      <c r="D22" s="147"/>
      <c r="E22" s="147"/>
      <c r="F22" s="147"/>
      <c r="G22" s="147"/>
      <c r="H22" s="147"/>
      <c r="I22" s="164"/>
    </row>
    <row r="23" spans="1:18" s="34" customFormat="1" x14ac:dyDescent="0.3">
      <c r="A23" s="151" t="s">
        <v>120</v>
      </c>
      <c r="B23" s="159"/>
      <c r="C23" s="257"/>
      <c r="D23" s="257"/>
      <c r="E23" s="257"/>
      <c r="F23" s="257"/>
      <c r="G23" s="257"/>
      <c r="H23" s="257"/>
      <c r="I23" s="169"/>
    </row>
    <row r="24" spans="1:18" s="34" customFormat="1" ht="13.8" x14ac:dyDescent="0.3">
      <c r="A24" s="139" t="s">
        <v>179</v>
      </c>
      <c r="B24" s="517">
        <v>3.2980000099999997E-2</v>
      </c>
      <c r="C24" s="518"/>
      <c r="D24" s="518"/>
      <c r="E24" s="518"/>
      <c r="F24" s="518"/>
      <c r="G24" s="518"/>
      <c r="H24" s="547"/>
      <c r="I24" s="332" t="s">
        <v>348</v>
      </c>
      <c r="K24" s="132"/>
    </row>
    <row r="25" spans="1:18" s="34" customFormat="1" x14ac:dyDescent="0.3">
      <c r="A25" s="278"/>
      <c r="B25" s="267"/>
      <c r="C25" s="147"/>
      <c r="D25" s="147"/>
      <c r="E25" s="147"/>
      <c r="F25" s="147"/>
      <c r="G25" s="147"/>
      <c r="H25" s="147"/>
      <c r="I25" s="164"/>
    </row>
    <row r="26" spans="1:18" s="34" customFormat="1" x14ac:dyDescent="0.3">
      <c r="A26" s="151" t="s">
        <v>152</v>
      </c>
      <c r="B26" s="159"/>
      <c r="C26" s="257"/>
      <c r="D26" s="257"/>
      <c r="E26" s="257"/>
      <c r="F26" s="257"/>
      <c r="G26" s="257"/>
      <c r="H26" s="257"/>
      <c r="I26" s="169"/>
    </row>
    <row r="27" spans="1:18" s="34" customFormat="1" ht="13.8" x14ac:dyDescent="0.3">
      <c r="A27" s="279" t="s">
        <v>180</v>
      </c>
      <c r="B27" s="282">
        <v>10</v>
      </c>
      <c r="C27" s="287">
        <f t="shared" ref="C27:G28" si="7">B27</f>
        <v>10</v>
      </c>
      <c r="D27" s="287">
        <f t="shared" si="7"/>
        <v>10</v>
      </c>
      <c r="E27" s="287">
        <f t="shared" si="7"/>
        <v>10</v>
      </c>
      <c r="F27" s="287">
        <f t="shared" si="7"/>
        <v>10</v>
      </c>
      <c r="G27" s="287">
        <f t="shared" si="7"/>
        <v>10</v>
      </c>
      <c r="H27" s="287">
        <v>12</v>
      </c>
      <c r="I27" s="247" t="str">
        <f>I20</f>
        <v>Edital - Anexo IV</v>
      </c>
    </row>
    <row r="28" spans="1:18" s="34" customFormat="1" ht="13.8" x14ac:dyDescent="0.3">
      <c r="A28" s="142" t="s">
        <v>181</v>
      </c>
      <c r="B28" s="283">
        <v>0.1</v>
      </c>
      <c r="C28" s="288">
        <f t="shared" si="7"/>
        <v>0.1</v>
      </c>
      <c r="D28" s="288">
        <f t="shared" si="7"/>
        <v>0.1</v>
      </c>
      <c r="E28" s="288">
        <f t="shared" si="7"/>
        <v>0.1</v>
      </c>
      <c r="F28" s="288">
        <f t="shared" si="7"/>
        <v>0.1</v>
      </c>
      <c r="G28" s="288">
        <f t="shared" si="7"/>
        <v>0.1</v>
      </c>
      <c r="H28" s="288">
        <f>G28</f>
        <v>0.1</v>
      </c>
      <c r="I28" s="248" t="str">
        <f>I27</f>
        <v>Edital - Anexo IV</v>
      </c>
    </row>
    <row r="29" spans="1:18" s="34" customFormat="1" ht="13.8" x14ac:dyDescent="0.3">
      <c r="A29" s="142" t="s">
        <v>182</v>
      </c>
      <c r="B29" s="493">
        <v>0.1</v>
      </c>
      <c r="C29" s="494"/>
      <c r="D29" s="494"/>
      <c r="E29" s="494"/>
      <c r="F29" s="494"/>
      <c r="G29" s="494"/>
      <c r="H29" s="494"/>
      <c r="I29" s="163" t="str">
        <f>I28</f>
        <v>Edital - Anexo IV</v>
      </c>
    </row>
    <row r="30" spans="1:18" s="34" customFormat="1" ht="13.8" x14ac:dyDescent="0.3">
      <c r="A30" s="142" t="s">
        <v>183</v>
      </c>
      <c r="B30" s="493">
        <v>0</v>
      </c>
      <c r="C30" s="494"/>
      <c r="D30" s="494"/>
      <c r="E30" s="494"/>
      <c r="F30" s="494"/>
      <c r="G30" s="494"/>
      <c r="H30" s="494"/>
      <c r="I30" s="163" t="str">
        <f t="shared" ref="I30:I35" si="8">I29</f>
        <v>Edital - Anexo IV</v>
      </c>
    </row>
    <row r="31" spans="1:18" s="34" customFormat="1" ht="13.8" x14ac:dyDescent="0.3">
      <c r="A31" s="142" t="s">
        <v>184</v>
      </c>
      <c r="B31" s="503">
        <v>25</v>
      </c>
      <c r="C31" s="504"/>
      <c r="D31" s="504"/>
      <c r="E31" s="504"/>
      <c r="F31" s="504"/>
      <c r="G31" s="504"/>
      <c r="H31" s="551"/>
      <c r="I31" s="163" t="str">
        <f t="shared" si="8"/>
        <v>Edital - Anexo IV</v>
      </c>
    </row>
    <row r="32" spans="1:18" s="34" customFormat="1" ht="13.8" x14ac:dyDescent="0.3">
      <c r="A32" s="142" t="s">
        <v>185</v>
      </c>
      <c r="B32" s="503">
        <v>10</v>
      </c>
      <c r="C32" s="504"/>
      <c r="D32" s="504"/>
      <c r="E32" s="504"/>
      <c r="F32" s="504"/>
      <c r="G32" s="504"/>
      <c r="H32" s="551"/>
      <c r="I32" s="163" t="str">
        <f t="shared" si="8"/>
        <v>Edital - Anexo IV</v>
      </c>
    </row>
    <row r="33" spans="1:11" s="34" customFormat="1" ht="13.8" x14ac:dyDescent="0.3">
      <c r="A33" s="142" t="s">
        <v>186</v>
      </c>
      <c r="B33" s="493">
        <v>0</v>
      </c>
      <c r="C33" s="494"/>
      <c r="D33" s="494"/>
      <c r="E33" s="494"/>
      <c r="F33" s="494"/>
      <c r="G33" s="494"/>
      <c r="H33" s="494"/>
      <c r="I33" s="163" t="str">
        <f t="shared" si="8"/>
        <v>Edital - Anexo IV</v>
      </c>
    </row>
    <row r="34" spans="1:11" s="34" customFormat="1" ht="13.8" x14ac:dyDescent="0.3">
      <c r="A34" s="142" t="s">
        <v>187</v>
      </c>
      <c r="B34" s="503">
        <v>5</v>
      </c>
      <c r="C34" s="504"/>
      <c r="D34" s="504"/>
      <c r="E34" s="504"/>
      <c r="F34" s="504"/>
      <c r="G34" s="504"/>
      <c r="H34" s="504"/>
      <c r="I34" s="163" t="str">
        <f t="shared" si="8"/>
        <v>Edital - Anexo IV</v>
      </c>
    </row>
    <row r="35" spans="1:11" s="34" customFormat="1" ht="13.8" x14ac:dyDescent="0.3">
      <c r="A35" s="142" t="s">
        <v>188</v>
      </c>
      <c r="B35" s="503">
        <v>10</v>
      </c>
      <c r="C35" s="504"/>
      <c r="D35" s="504"/>
      <c r="E35" s="504"/>
      <c r="F35" s="504"/>
      <c r="G35" s="504"/>
      <c r="H35" s="504"/>
      <c r="I35" s="163" t="str">
        <f t="shared" si="8"/>
        <v>Edital - Anexo IV</v>
      </c>
    </row>
    <row r="36" spans="1:11" s="34" customFormat="1" ht="13.8" x14ac:dyDescent="0.3">
      <c r="A36" s="142" t="s">
        <v>189</v>
      </c>
      <c r="B36" s="543">
        <v>0.12704799999999999</v>
      </c>
      <c r="C36" s="544"/>
      <c r="D36" s="544"/>
      <c r="E36" s="544"/>
      <c r="F36" s="544"/>
      <c r="G36" s="544"/>
      <c r="H36" s="544"/>
      <c r="I36" s="163" t="s">
        <v>350</v>
      </c>
    </row>
    <row r="37" spans="1:11" s="34" customFormat="1" ht="13.8" x14ac:dyDescent="0.3">
      <c r="A37" s="142" t="s">
        <v>190</v>
      </c>
      <c r="B37" s="543">
        <v>4.5053999999999997E-2</v>
      </c>
      <c r="C37" s="544"/>
      <c r="D37" s="544"/>
      <c r="E37" s="544"/>
      <c r="F37" s="544"/>
      <c r="G37" s="544"/>
      <c r="H37" s="545"/>
      <c r="I37" s="163" t="s">
        <v>349</v>
      </c>
    </row>
    <row r="38" spans="1:11" s="34" customFormat="1" ht="13.8" x14ac:dyDescent="0.3">
      <c r="A38" s="142" t="s">
        <v>191</v>
      </c>
      <c r="B38" s="499">
        <v>2</v>
      </c>
      <c r="C38" s="500"/>
      <c r="D38" s="500"/>
      <c r="E38" s="500"/>
      <c r="F38" s="500"/>
      <c r="G38" s="500"/>
      <c r="H38" s="546"/>
      <c r="I38" s="163" t="s">
        <v>347</v>
      </c>
    </row>
    <row r="39" spans="1:11" s="34" customFormat="1" x14ac:dyDescent="0.3">
      <c r="A39" s="147"/>
      <c r="B39" s="267"/>
      <c r="C39" s="147"/>
      <c r="D39" s="147"/>
      <c r="E39" s="147"/>
      <c r="F39" s="147"/>
      <c r="G39" s="147"/>
      <c r="H39" s="147"/>
      <c r="I39" s="164"/>
    </row>
    <row r="40" spans="1:11" s="34" customFormat="1" x14ac:dyDescent="0.3">
      <c r="A40" s="151" t="s">
        <v>192</v>
      </c>
      <c r="B40" s="159"/>
      <c r="C40" s="257"/>
      <c r="D40" s="257"/>
      <c r="E40" s="257"/>
      <c r="F40" s="257"/>
      <c r="G40" s="257"/>
      <c r="H40" s="257"/>
      <c r="I40" s="165"/>
    </row>
    <row r="41" spans="1:11" s="34" customFormat="1" ht="13.8" x14ac:dyDescent="0.3">
      <c r="A41" s="139" t="s">
        <v>148</v>
      </c>
      <c r="B41" s="517">
        <v>5.0500000000000003E-2</v>
      </c>
      <c r="C41" s="518"/>
      <c r="D41" s="518"/>
      <c r="E41" s="518"/>
      <c r="F41" s="518"/>
      <c r="G41" s="518"/>
      <c r="H41" s="547"/>
      <c r="I41" s="162" t="str">
        <f>I38</f>
        <v>Edital - Anexo IV</v>
      </c>
    </row>
    <row r="42" spans="1:11" s="34" customFormat="1" ht="13.8" x14ac:dyDescent="0.3">
      <c r="A42" s="170" t="s">
        <v>193</v>
      </c>
      <c r="B42" s="493">
        <v>0.03</v>
      </c>
      <c r="C42" s="494"/>
      <c r="D42" s="494"/>
      <c r="E42" s="494"/>
      <c r="F42" s="494"/>
      <c r="G42" s="494"/>
      <c r="H42" s="494"/>
      <c r="I42" s="163" t="str">
        <f>I41</f>
        <v>Edital - Anexo IV</v>
      </c>
    </row>
    <row r="43" spans="1:11" s="34" customFormat="1" ht="13.8" x14ac:dyDescent="0.3">
      <c r="A43" s="170" t="s">
        <v>156</v>
      </c>
      <c r="B43" s="493">
        <v>0</v>
      </c>
      <c r="C43" s="494"/>
      <c r="D43" s="494"/>
      <c r="E43" s="494"/>
      <c r="F43" s="494"/>
      <c r="G43" s="494"/>
      <c r="H43" s="494"/>
      <c r="I43" s="163" t="str">
        <f>I42</f>
        <v>Edital - Anexo IV</v>
      </c>
    </row>
    <row r="44" spans="1:11" s="34" customFormat="1" ht="13.8" x14ac:dyDescent="0.3">
      <c r="A44" s="170" t="s">
        <v>157</v>
      </c>
      <c r="B44" s="493">
        <v>0</v>
      </c>
      <c r="C44" s="494"/>
      <c r="D44" s="494"/>
      <c r="E44" s="494"/>
      <c r="F44" s="494"/>
      <c r="G44" s="494"/>
      <c r="H44" s="494"/>
      <c r="I44" s="163" t="str">
        <f>I43</f>
        <v>Edital - Anexo IV</v>
      </c>
    </row>
    <row r="45" spans="1:11" s="34" customFormat="1" ht="13.8" x14ac:dyDescent="0.3">
      <c r="A45" s="170" t="s">
        <v>194</v>
      </c>
      <c r="B45" s="493">
        <v>8.5000000000000006E-3</v>
      </c>
      <c r="C45" s="494"/>
      <c r="D45" s="494"/>
      <c r="E45" s="494"/>
      <c r="F45" s="494"/>
      <c r="G45" s="494"/>
      <c r="H45" s="494"/>
      <c r="I45" s="163" t="str">
        <f>I44</f>
        <v>Edital - Anexo IV</v>
      </c>
    </row>
    <row r="46" spans="1:11" s="34" customFormat="1" ht="13.8" x14ac:dyDescent="0.3">
      <c r="A46" s="170" t="s">
        <v>195</v>
      </c>
      <c r="B46" s="493">
        <v>1.2E-2</v>
      </c>
      <c r="C46" s="494"/>
      <c r="D46" s="494"/>
      <c r="E46" s="494"/>
      <c r="F46" s="494"/>
      <c r="G46" s="494"/>
      <c r="H46" s="494"/>
      <c r="I46" s="163" t="s">
        <v>356</v>
      </c>
    </row>
    <row r="47" spans="1:11" s="34" customFormat="1" ht="13.8" x14ac:dyDescent="0.3">
      <c r="A47" s="170" t="s">
        <v>155</v>
      </c>
      <c r="B47" s="493">
        <v>0</v>
      </c>
      <c r="C47" s="494"/>
      <c r="D47" s="494"/>
      <c r="E47" s="494"/>
      <c r="F47" s="494"/>
      <c r="G47" s="494"/>
      <c r="H47" s="494"/>
      <c r="I47" s="163" t="str">
        <f>I45</f>
        <v>Edital - Anexo IV</v>
      </c>
    </row>
    <row r="48" spans="1:11" x14ac:dyDescent="0.3">
      <c r="A48" s="142" t="s">
        <v>196</v>
      </c>
      <c r="B48" s="495">
        <v>5.0200000000000002E-2</v>
      </c>
      <c r="C48" s="496"/>
      <c r="D48" s="496"/>
      <c r="E48" s="496"/>
      <c r="F48" s="496"/>
      <c r="G48" s="496"/>
      <c r="H48" s="542"/>
      <c r="I48" s="234" t="s">
        <v>348</v>
      </c>
      <c r="J48"/>
      <c r="K48" s="171"/>
    </row>
    <row r="52" spans="4:4" x14ac:dyDescent="0.3">
      <c r="D52" s="358"/>
    </row>
  </sheetData>
  <mergeCells count="33">
    <mergeCell ref="B16:H16"/>
    <mergeCell ref="O3:O4"/>
    <mergeCell ref="P3:Q3"/>
    <mergeCell ref="R3:S3"/>
    <mergeCell ref="B5:H5"/>
    <mergeCell ref="B6:H6"/>
    <mergeCell ref="B11:H11"/>
    <mergeCell ref="B14:H14"/>
    <mergeCell ref="B15:H15"/>
    <mergeCell ref="B34:H34"/>
    <mergeCell ref="B17:H17"/>
    <mergeCell ref="B18:H18"/>
    <mergeCell ref="B19:H19"/>
    <mergeCell ref="B20:H20"/>
    <mergeCell ref="B21:H21"/>
    <mergeCell ref="B24:H24"/>
    <mergeCell ref="B29:H29"/>
    <mergeCell ref="B30:H30"/>
    <mergeCell ref="B31:H31"/>
    <mergeCell ref="B32:H32"/>
    <mergeCell ref="B33:H33"/>
    <mergeCell ref="B48:H48"/>
    <mergeCell ref="B35:H35"/>
    <mergeCell ref="B36:H36"/>
    <mergeCell ref="B37:H37"/>
    <mergeCell ref="B38:H38"/>
    <mergeCell ref="B41:H41"/>
    <mergeCell ref="B42:H42"/>
    <mergeCell ref="B43:H43"/>
    <mergeCell ref="B44:H44"/>
    <mergeCell ref="B45:H45"/>
    <mergeCell ref="B46:H46"/>
    <mergeCell ref="B47:H4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B872-C648-4C20-9E54-3642F727CC0E}">
  <sheetPr codeName="Planilha6">
    <tabColor theme="5" tint="0.79998168889431442"/>
  </sheetPr>
  <dimension ref="A1:S51"/>
  <sheetViews>
    <sheetView topLeftCell="B9" workbookViewId="0">
      <selection activeCell="E19" sqref="E19"/>
    </sheetView>
  </sheetViews>
  <sheetFormatPr defaultRowHeight="14.4" x14ac:dyDescent="0.3"/>
  <cols>
    <col min="1" max="1" width="0" hidden="1" customWidth="1"/>
    <col min="2" max="2" width="33" style="147" customWidth="1"/>
    <col min="3" max="3" width="13.44140625" style="275" bestFit="1" customWidth="1"/>
    <col min="4" max="4" width="18.6640625" style="275" customWidth="1"/>
    <col min="5" max="5" width="19.88671875" style="275" bestFit="1" customWidth="1"/>
    <col min="6" max="6" width="16.88671875" style="275" customWidth="1"/>
    <col min="7" max="7" width="19.6640625" style="275" customWidth="1"/>
    <col min="8" max="8" width="16.44140625" style="322" customWidth="1"/>
    <col min="9" max="9" width="19.44140625" style="322" customWidth="1"/>
    <col min="10" max="10" width="20" style="322" customWidth="1"/>
    <col min="11" max="11" width="21.33203125" style="275" customWidth="1"/>
    <col min="12" max="12" width="67.109375" style="19" customWidth="1"/>
    <col min="13" max="13" width="11" style="59" customWidth="1"/>
    <col min="14" max="14" width="13.88671875" style="59" bestFit="1" customWidth="1"/>
    <col min="15" max="15" width="13.6640625" style="59" bestFit="1" customWidth="1"/>
    <col min="16" max="16" width="14.5546875" bestFit="1" customWidth="1"/>
    <col min="18" max="18" width="10.33203125" bestFit="1" customWidth="1"/>
  </cols>
  <sheetData>
    <row r="1" spans="2:19" ht="15" hidden="1" customHeight="1" x14ac:dyDescent="0.3">
      <c r="B1" s="291" t="s">
        <v>165</v>
      </c>
      <c r="C1" s="295"/>
      <c r="D1" s="295"/>
      <c r="E1" s="295"/>
      <c r="F1" s="295"/>
      <c r="G1" s="295"/>
      <c r="H1" s="317" t="str">
        <f>[2]Tarifa!E4</f>
        <v>Leve - Sem Ar</v>
      </c>
      <c r="I1" s="317" t="str">
        <f>[2]Tarifa!F4</f>
        <v>Pesado - Sem Ar</v>
      </c>
      <c r="J1" s="317"/>
      <c r="K1" s="317" t="s">
        <v>158</v>
      </c>
      <c r="L1" s="172"/>
    </row>
    <row r="2" spans="2:19" s="173" customFormat="1" ht="30" customHeight="1" x14ac:dyDescent="0.3">
      <c r="B2" s="291" t="s">
        <v>165</v>
      </c>
      <c r="C2" s="295" t="s">
        <v>197</v>
      </c>
      <c r="D2" s="295" t="str">
        <f>'Tarifa_Técnica - PLANUM'!E4</f>
        <v>Microônibus - Sem Ar</v>
      </c>
      <c r="E2" s="295" t="str">
        <f>'Tarifa_Técnica - PLANUM'!F4</f>
        <v>Microônibus - Com Ar</v>
      </c>
      <c r="F2" s="295" t="str">
        <f>'Tarifa_Técnica - PLANUM'!G4</f>
        <v>Midiônibus - Sem Ar</v>
      </c>
      <c r="G2" s="295" t="str">
        <f>'Tarifa_Técnica - PLANUM'!H4</f>
        <v>Midiônibus - Com Ar</v>
      </c>
      <c r="H2" s="295" t="str">
        <f>'Tarifa_Técnica - PLANUM'!I4</f>
        <v>Básico - Sem Ar</v>
      </c>
      <c r="I2" s="295" t="str">
        <f>'Tarifa_Técnica - PLANUM'!J4</f>
        <v>Básico - Com Ar</v>
      </c>
      <c r="J2" s="295" t="str">
        <f>'Tarifa_Técnica - PLANUM'!K4</f>
        <v>Ônibus Padron</v>
      </c>
      <c r="K2" s="317" t="s">
        <v>198</v>
      </c>
      <c r="L2" s="253" t="s">
        <v>158</v>
      </c>
      <c r="M2" s="174"/>
      <c r="N2" s="175" t="s">
        <v>159</v>
      </c>
      <c r="O2" s="176">
        <f>Tabelas_Dados_Op!M1</f>
        <v>45505</v>
      </c>
    </row>
    <row r="4" spans="2:19" x14ac:dyDescent="0.3">
      <c r="B4" s="151" t="s">
        <v>13</v>
      </c>
      <c r="C4" s="296"/>
      <c r="D4" s="296"/>
      <c r="E4" s="296"/>
      <c r="F4" s="296"/>
      <c r="G4" s="296"/>
      <c r="H4" s="318"/>
      <c r="I4" s="159"/>
      <c r="J4" s="325"/>
      <c r="K4" s="326"/>
      <c r="L4" s="177"/>
      <c r="N4" s="178"/>
      <c r="O4" s="179"/>
    </row>
    <row r="5" spans="2:19" ht="27.6" x14ac:dyDescent="0.3">
      <c r="B5" s="292" t="s">
        <v>199</v>
      </c>
      <c r="C5" s="297" t="s">
        <v>200</v>
      </c>
      <c r="D5" s="302">
        <v>4.4420500000000001</v>
      </c>
      <c r="E5" s="302"/>
      <c r="F5" s="302"/>
      <c r="G5" s="302"/>
      <c r="H5" s="302"/>
      <c r="I5" s="302"/>
      <c r="J5" s="302"/>
      <c r="K5" s="327" t="s">
        <v>316</v>
      </c>
      <c r="L5" s="333" t="s">
        <v>317</v>
      </c>
    </row>
    <row r="6" spans="2:19" ht="27.9" customHeight="1" x14ac:dyDescent="0.3">
      <c r="B6" s="293" t="s">
        <v>22</v>
      </c>
      <c r="C6" s="298" t="s">
        <v>200</v>
      </c>
      <c r="D6" s="463">
        <v>2.2599999999999998</v>
      </c>
      <c r="E6" s="312"/>
      <c r="F6" s="312"/>
      <c r="G6" s="312"/>
      <c r="H6" s="312"/>
      <c r="I6" s="312"/>
      <c r="J6" s="312"/>
      <c r="K6" s="303" t="str">
        <f t="shared" ref="K6:K12" si="0">K5</f>
        <v>Edital - Anexo II - 5. Custos</v>
      </c>
      <c r="L6" s="235" t="s">
        <v>315</v>
      </c>
    </row>
    <row r="7" spans="2:19" ht="27.9" customHeight="1" x14ac:dyDescent="0.3">
      <c r="B7" s="293" t="s">
        <v>318</v>
      </c>
      <c r="C7" s="298" t="s">
        <v>201</v>
      </c>
      <c r="D7" s="478">
        <v>1224.53</v>
      </c>
      <c r="E7" s="303">
        <f>D7</f>
        <v>1224.53</v>
      </c>
      <c r="F7" s="298" t="s">
        <v>314</v>
      </c>
      <c r="G7" s="298" t="s">
        <v>314</v>
      </c>
      <c r="H7" s="298" t="s">
        <v>314</v>
      </c>
      <c r="I7" s="298" t="s">
        <v>314</v>
      </c>
      <c r="J7" s="298" t="s">
        <v>314</v>
      </c>
      <c r="K7" s="303" t="str">
        <f t="shared" si="0"/>
        <v>Edital - Anexo II - 5. Custos</v>
      </c>
      <c r="L7" s="334" t="s">
        <v>333</v>
      </c>
    </row>
    <row r="8" spans="2:19" ht="27.9" customHeight="1" x14ac:dyDescent="0.3">
      <c r="B8" s="293" t="s">
        <v>320</v>
      </c>
      <c r="C8" s="298" t="s">
        <v>201</v>
      </c>
      <c r="D8" s="298" t="s">
        <v>314</v>
      </c>
      <c r="E8" s="298" t="s">
        <v>314</v>
      </c>
      <c r="F8" s="478">
        <v>1731.53</v>
      </c>
      <c r="G8" s="303">
        <f>F8</f>
        <v>1731.53</v>
      </c>
      <c r="H8" s="303">
        <f>G8</f>
        <v>1731.53</v>
      </c>
      <c r="I8" s="303">
        <f>H8</f>
        <v>1731.53</v>
      </c>
      <c r="J8" s="303" t="s">
        <v>314</v>
      </c>
      <c r="K8" s="303" t="str">
        <f t="shared" si="0"/>
        <v>Edital - Anexo II - 5. Custos</v>
      </c>
      <c r="L8" s="334" t="s">
        <v>334</v>
      </c>
    </row>
    <row r="9" spans="2:19" ht="27.9" customHeight="1" x14ac:dyDescent="0.3">
      <c r="B9" s="293" t="s">
        <v>319</v>
      </c>
      <c r="C9" s="298" t="s">
        <v>201</v>
      </c>
      <c r="D9" s="298" t="s">
        <v>314</v>
      </c>
      <c r="E9" s="298" t="s">
        <v>314</v>
      </c>
      <c r="F9" s="298" t="s">
        <v>314</v>
      </c>
      <c r="G9" s="298" t="s">
        <v>314</v>
      </c>
      <c r="H9" s="298" t="s">
        <v>314</v>
      </c>
      <c r="I9" s="298" t="s">
        <v>314</v>
      </c>
      <c r="J9" s="303">
        <v>1762.72</v>
      </c>
      <c r="K9" s="303" t="str">
        <f t="shared" si="0"/>
        <v>Edital - Anexo II - 5. Custos</v>
      </c>
      <c r="L9" s="334" t="s">
        <v>335</v>
      </c>
      <c r="M9" s="331" t="s">
        <v>353</v>
      </c>
    </row>
    <row r="10" spans="2:19" ht="39.9" customHeight="1" x14ac:dyDescent="0.3">
      <c r="B10" s="293" t="s">
        <v>321</v>
      </c>
      <c r="C10" s="298" t="s">
        <v>201</v>
      </c>
      <c r="D10" s="298">
        <v>615.6</v>
      </c>
      <c r="E10" s="298">
        <f>D10</f>
        <v>615.6</v>
      </c>
      <c r="F10" s="298" t="s">
        <v>314</v>
      </c>
      <c r="G10" s="298" t="s">
        <v>314</v>
      </c>
      <c r="H10" s="298" t="s">
        <v>314</v>
      </c>
      <c r="I10" s="298" t="s">
        <v>314</v>
      </c>
      <c r="J10" s="298" t="s">
        <v>314</v>
      </c>
      <c r="K10" s="303" t="str">
        <f t="shared" si="0"/>
        <v>Edital - Anexo II - 5. Custos</v>
      </c>
      <c r="L10" s="334" t="s">
        <v>336</v>
      </c>
    </row>
    <row r="11" spans="2:19" ht="39.9" customHeight="1" x14ac:dyDescent="0.3">
      <c r="B11" s="293" t="s">
        <v>322</v>
      </c>
      <c r="C11" s="298" t="s">
        <v>201</v>
      </c>
      <c r="D11" s="298" t="s">
        <v>314</v>
      </c>
      <c r="E11" s="298" t="s">
        <v>314</v>
      </c>
      <c r="F11" s="298">
        <v>690</v>
      </c>
      <c r="G11" s="298">
        <f>F11</f>
        <v>690</v>
      </c>
      <c r="H11" s="298">
        <f>G11</f>
        <v>690</v>
      </c>
      <c r="I11" s="298">
        <f>H11</f>
        <v>690</v>
      </c>
      <c r="J11" s="298" t="s">
        <v>314</v>
      </c>
      <c r="K11" s="303" t="str">
        <f t="shared" si="0"/>
        <v>Edital - Anexo II - 5. Custos</v>
      </c>
      <c r="L11" s="334" t="s">
        <v>336</v>
      </c>
    </row>
    <row r="12" spans="2:19" ht="39.9" customHeight="1" x14ac:dyDescent="0.3">
      <c r="B12" s="293" t="s">
        <v>323</v>
      </c>
      <c r="C12" s="298" t="s">
        <v>201</v>
      </c>
      <c r="D12" s="298" t="s">
        <v>314</v>
      </c>
      <c r="E12" s="298" t="s">
        <v>314</v>
      </c>
      <c r="F12" s="298" t="s">
        <v>314</v>
      </c>
      <c r="G12" s="298" t="s">
        <v>314</v>
      </c>
      <c r="H12" s="298" t="s">
        <v>314</v>
      </c>
      <c r="I12" s="298" t="s">
        <v>314</v>
      </c>
      <c r="J12" s="298">
        <v>690</v>
      </c>
      <c r="K12" s="303" t="str">
        <f t="shared" si="0"/>
        <v>Edital - Anexo II - 5. Custos</v>
      </c>
      <c r="L12" s="334" t="s">
        <v>336</v>
      </c>
    </row>
    <row r="13" spans="2:19" x14ac:dyDescent="0.3">
      <c r="H13" s="275"/>
      <c r="I13" s="275"/>
      <c r="J13" s="275"/>
    </row>
    <row r="14" spans="2:19" x14ac:dyDescent="0.3">
      <c r="B14" s="151" t="s">
        <v>171</v>
      </c>
      <c r="C14" s="296"/>
      <c r="D14" s="296"/>
      <c r="E14" s="296"/>
      <c r="F14" s="296"/>
      <c r="G14" s="296"/>
      <c r="H14" s="318"/>
      <c r="I14" s="318"/>
      <c r="J14" s="318"/>
      <c r="K14" s="318"/>
    </row>
    <row r="15" spans="2:19" x14ac:dyDescent="0.3">
      <c r="B15" s="162" t="s">
        <v>202</v>
      </c>
      <c r="C15" s="299" t="s">
        <v>203</v>
      </c>
      <c r="D15" s="304">
        <f>'Comparação IBETA x PLANUM'!AP16</f>
        <v>3181.7170828800004</v>
      </c>
      <c r="E15" s="313"/>
      <c r="F15" s="313"/>
      <c r="G15" s="313"/>
      <c r="H15" s="313"/>
      <c r="I15" s="313"/>
      <c r="J15" s="313"/>
      <c r="K15" s="328" t="str">
        <f>K12</f>
        <v>Edital - Anexo II - 5. Custos</v>
      </c>
      <c r="L15" s="224" t="s">
        <v>338</v>
      </c>
      <c r="M15" s="331" t="s">
        <v>369</v>
      </c>
      <c r="Q15" s="59"/>
    </row>
    <row r="16" spans="2:19" x14ac:dyDescent="0.3">
      <c r="B16" s="225" t="s">
        <v>204</v>
      </c>
      <c r="C16" s="274" t="s">
        <v>203</v>
      </c>
      <c r="D16" s="305">
        <f>'Comparação IBETA x PLANUM'!AP17</f>
        <v>1767.2713239999996</v>
      </c>
      <c r="E16" s="314"/>
      <c r="F16" s="314"/>
      <c r="G16" s="314"/>
      <c r="H16" s="314"/>
      <c r="I16" s="314"/>
      <c r="J16" s="314"/>
      <c r="K16" s="328" t="str">
        <f t="shared" ref="K16:L20" si="1">K15</f>
        <v>Edital - Anexo II - 5. Custos</v>
      </c>
      <c r="L16" s="226" t="str">
        <f t="shared" si="1"/>
        <v>Acordo Coletivo de Trabalho 2022-2023</v>
      </c>
      <c r="Q16" s="59"/>
      <c r="R16" s="59"/>
      <c r="S16" s="59"/>
    </row>
    <row r="17" spans="1:19" x14ac:dyDescent="0.3">
      <c r="B17" s="225" t="s">
        <v>205</v>
      </c>
      <c r="C17" s="300" t="s">
        <v>203</v>
      </c>
      <c r="D17" s="515">
        <f>'Comparação IBETA x PLANUM'!AP18</f>
        <v>2946.0343360000002</v>
      </c>
      <c r="E17" s="516"/>
      <c r="F17" s="516"/>
      <c r="G17" s="516"/>
      <c r="H17" s="516"/>
      <c r="I17" s="516"/>
      <c r="J17" s="561"/>
      <c r="K17" s="328" t="str">
        <f t="shared" si="1"/>
        <v>Edital - Anexo II - 5. Custos</v>
      </c>
      <c r="L17" s="227" t="str">
        <f t="shared" si="1"/>
        <v>Acordo Coletivo de Trabalho 2022-2023</v>
      </c>
      <c r="Q17" s="181"/>
      <c r="R17" s="181"/>
      <c r="S17" s="181"/>
    </row>
    <row r="18" spans="1:19" x14ac:dyDescent="0.3">
      <c r="B18" s="225" t="s">
        <v>206</v>
      </c>
      <c r="C18" s="300" t="s">
        <v>203</v>
      </c>
      <c r="D18" s="306">
        <v>570</v>
      </c>
      <c r="E18" s="315"/>
      <c r="F18" s="315"/>
      <c r="G18" s="315"/>
      <c r="H18" s="315"/>
      <c r="I18" s="315"/>
      <c r="J18" s="315"/>
      <c r="K18" s="328" t="str">
        <f t="shared" si="1"/>
        <v>Edital - Anexo II - 5. Custos</v>
      </c>
      <c r="L18" s="227" t="str">
        <f t="shared" si="1"/>
        <v>Acordo Coletivo de Trabalho 2022-2023</v>
      </c>
      <c r="M18" s="331" t="s">
        <v>342</v>
      </c>
      <c r="N18" s="34"/>
      <c r="O18" s="34"/>
      <c r="P18" s="2"/>
      <c r="Q18" s="59"/>
    </row>
    <row r="19" spans="1:19" x14ac:dyDescent="0.3">
      <c r="B19" s="225" t="s">
        <v>207</v>
      </c>
      <c r="C19" s="300" t="s">
        <v>203</v>
      </c>
      <c r="D19" s="306">
        <v>570</v>
      </c>
      <c r="E19" s="315"/>
      <c r="F19" s="315"/>
      <c r="G19" s="315"/>
      <c r="H19" s="315"/>
      <c r="I19" s="315"/>
      <c r="J19" s="315"/>
      <c r="K19" s="328" t="str">
        <f t="shared" si="1"/>
        <v>Edital - Anexo II - 5. Custos</v>
      </c>
      <c r="L19" s="233" t="str">
        <f t="shared" si="1"/>
        <v>Acordo Coletivo de Trabalho 2022-2023</v>
      </c>
      <c r="M19" s="34"/>
      <c r="N19" s="34"/>
      <c r="O19" s="34"/>
      <c r="P19" s="2"/>
    </row>
    <row r="20" spans="1:19" x14ac:dyDescent="0.3">
      <c r="A20" s="34" t="s">
        <v>208</v>
      </c>
      <c r="B20" s="228" t="s">
        <v>209</v>
      </c>
      <c r="C20" s="300" t="s">
        <v>203</v>
      </c>
      <c r="D20" s="307">
        <v>570</v>
      </c>
      <c r="E20" s="311"/>
      <c r="F20" s="311"/>
      <c r="G20" s="315"/>
      <c r="H20" s="315"/>
      <c r="I20" s="311"/>
      <c r="J20" s="311"/>
      <c r="K20" s="328" t="str">
        <f t="shared" si="1"/>
        <v>Edital - Anexo II - 5. Custos</v>
      </c>
      <c r="L20" s="233" t="str">
        <f t="shared" si="1"/>
        <v>Acordo Coletivo de Trabalho 2022-2023</v>
      </c>
      <c r="M20" s="182"/>
      <c r="N20" s="34"/>
      <c r="O20" s="34"/>
      <c r="P20" s="2"/>
    </row>
    <row r="21" spans="1:19" x14ac:dyDescent="0.3">
      <c r="C21" s="300"/>
      <c r="D21" s="274"/>
      <c r="E21" s="274"/>
      <c r="F21" s="274"/>
      <c r="G21" s="300"/>
      <c r="H21" s="300"/>
      <c r="L21" s="180"/>
      <c r="M21" s="34"/>
    </row>
    <row r="22" spans="1:19" x14ac:dyDescent="0.3">
      <c r="B22" s="151" t="s">
        <v>120</v>
      </c>
      <c r="C22" s="296"/>
      <c r="D22" s="296"/>
      <c r="E22" s="296"/>
      <c r="F22" s="296"/>
      <c r="G22" s="296"/>
      <c r="H22" s="318"/>
      <c r="I22" s="152"/>
      <c r="J22" s="152"/>
      <c r="K22" s="152"/>
      <c r="L22" s="153"/>
      <c r="M22" s="34"/>
    </row>
    <row r="23" spans="1:19" x14ac:dyDescent="0.3">
      <c r="A23" s="34" t="s">
        <v>210</v>
      </c>
      <c r="B23" s="162" t="s">
        <v>211</v>
      </c>
      <c r="C23" s="299" t="s">
        <v>212</v>
      </c>
      <c r="D23" s="304">
        <v>0</v>
      </c>
      <c r="E23" s="313"/>
      <c r="F23" s="313"/>
      <c r="G23" s="313"/>
      <c r="H23" s="313"/>
      <c r="I23" s="324"/>
      <c r="J23" s="324"/>
      <c r="K23" s="329" t="str">
        <f>K20</f>
        <v>Edital - Anexo II - 5. Custos</v>
      </c>
      <c r="L23" s="254"/>
      <c r="M23" s="34"/>
    </row>
    <row r="24" spans="1:19" x14ac:dyDescent="0.3">
      <c r="A24" s="34" t="s">
        <v>213</v>
      </c>
      <c r="B24" s="228" t="s">
        <v>213</v>
      </c>
      <c r="C24" s="280" t="s">
        <v>212</v>
      </c>
      <c r="D24" s="307">
        <v>0</v>
      </c>
      <c r="E24" s="311"/>
      <c r="F24" s="311"/>
      <c r="G24" s="311"/>
      <c r="H24" s="319"/>
      <c r="I24" s="319"/>
      <c r="J24" s="319"/>
      <c r="K24" s="183" t="str">
        <f>K23</f>
        <v>Edital - Anexo II - 5. Custos</v>
      </c>
      <c r="L24" s="185"/>
      <c r="M24" s="34"/>
    </row>
    <row r="25" spans="1:19" x14ac:dyDescent="0.3">
      <c r="A25" s="34"/>
      <c r="B25" s="228" t="s">
        <v>130</v>
      </c>
      <c r="C25" s="280" t="s">
        <v>212</v>
      </c>
      <c r="D25" s="307">
        <v>0</v>
      </c>
      <c r="E25" s="311"/>
      <c r="F25" s="311"/>
      <c r="G25" s="311"/>
      <c r="H25" s="320"/>
      <c r="I25" s="320"/>
      <c r="J25" s="320"/>
      <c r="K25" s="183" t="str">
        <f>K24</f>
        <v>Edital - Anexo II - 5. Custos</v>
      </c>
      <c r="L25" s="255"/>
      <c r="M25"/>
    </row>
    <row r="26" spans="1:19" x14ac:dyDescent="0.3">
      <c r="A26" s="34" t="s">
        <v>214</v>
      </c>
      <c r="B26" s="228" t="s">
        <v>215</v>
      </c>
      <c r="C26" s="280" t="s">
        <v>212</v>
      </c>
      <c r="D26" s="307">
        <v>90.94</v>
      </c>
      <c r="E26" s="311"/>
      <c r="F26" s="311"/>
      <c r="G26" s="311"/>
      <c r="H26" s="321"/>
      <c r="I26" s="321"/>
      <c r="J26" s="321"/>
      <c r="K26" s="183" t="str">
        <f>K25</f>
        <v>Edital - Anexo II - 5. Custos</v>
      </c>
      <c r="L26" s="185" t="s">
        <v>343</v>
      </c>
      <c r="M26" s="34"/>
    </row>
    <row r="27" spans="1:19" x14ac:dyDescent="0.3">
      <c r="A27" s="34"/>
      <c r="B27" s="228" t="s">
        <v>132</v>
      </c>
      <c r="C27" s="280" t="s">
        <v>216</v>
      </c>
      <c r="D27" s="307">
        <v>437</v>
      </c>
      <c r="E27" s="311"/>
      <c r="F27" s="311"/>
      <c r="G27" s="311"/>
      <c r="H27" s="321"/>
      <c r="I27" s="321"/>
      <c r="J27" s="321"/>
      <c r="K27" s="183" t="str">
        <f>K26</f>
        <v>Edital - Anexo II - 5. Custos</v>
      </c>
      <c r="L27" s="185" t="s">
        <v>344</v>
      </c>
      <c r="M27" s="34"/>
    </row>
    <row r="29" spans="1:19" x14ac:dyDescent="0.3">
      <c r="B29" s="151" t="s">
        <v>152</v>
      </c>
      <c r="C29" s="296"/>
      <c r="D29" s="296"/>
      <c r="E29" s="296"/>
      <c r="F29" s="296"/>
      <c r="G29" s="296"/>
      <c r="H29" s="159"/>
      <c r="I29" s="159"/>
      <c r="J29" s="159"/>
      <c r="K29" s="330"/>
      <c r="L29" s="24"/>
    </row>
    <row r="30" spans="1:19" x14ac:dyDescent="0.3">
      <c r="B30" s="294" t="s">
        <v>217</v>
      </c>
      <c r="C30" s="301" t="s">
        <v>212</v>
      </c>
      <c r="D30" s="308">
        <v>465000</v>
      </c>
      <c r="E30" s="308">
        <v>523000</v>
      </c>
      <c r="F30" s="308">
        <v>692298</v>
      </c>
      <c r="G30" s="308">
        <v>737298</v>
      </c>
      <c r="H30" s="308">
        <v>736398</v>
      </c>
      <c r="I30" s="308">
        <v>781398</v>
      </c>
      <c r="J30" s="308">
        <f>I30</f>
        <v>781398</v>
      </c>
      <c r="K30" s="329" t="str">
        <f>K20</f>
        <v>Edital - Anexo II - 5. Custos</v>
      </c>
      <c r="L30" s="558" t="s">
        <v>337</v>
      </c>
      <c r="M30" s="331" t="s">
        <v>341</v>
      </c>
    </row>
    <row r="31" spans="1:19" s="59" customFormat="1" x14ac:dyDescent="0.3">
      <c r="A31"/>
      <c r="B31" s="294" t="s">
        <v>218</v>
      </c>
      <c r="C31" s="301" t="s">
        <v>212</v>
      </c>
      <c r="D31" s="301"/>
      <c r="E31" s="301"/>
      <c r="F31" s="301"/>
      <c r="G31" s="301"/>
      <c r="H31" s="301"/>
      <c r="I31" s="301"/>
      <c r="J31" s="301"/>
      <c r="K31" s="183" t="str">
        <f t="shared" ref="K31:K37" si="2">K30</f>
        <v>Edital - Anexo II - 5. Custos</v>
      </c>
      <c r="L31" s="559"/>
      <c r="M31" s="34"/>
      <c r="P31"/>
      <c r="Q31"/>
      <c r="R31"/>
      <c r="S31"/>
    </row>
    <row r="32" spans="1:19" s="59" customFormat="1" x14ac:dyDescent="0.3">
      <c r="A32"/>
      <c r="B32" s="228" t="s">
        <v>219</v>
      </c>
      <c r="C32" s="280" t="s">
        <v>212</v>
      </c>
      <c r="D32" s="280"/>
      <c r="E32" s="280"/>
      <c r="F32" s="280"/>
      <c r="G32" s="280"/>
      <c r="H32" s="280"/>
      <c r="I32" s="280"/>
      <c r="J32" s="280"/>
      <c r="K32" s="183" t="str">
        <f t="shared" si="2"/>
        <v>Edital - Anexo II - 5. Custos</v>
      </c>
      <c r="L32" s="560"/>
      <c r="M32" s="184"/>
      <c r="P32"/>
      <c r="Q32"/>
      <c r="R32"/>
      <c r="S32"/>
    </row>
    <row r="33" spans="1:19" s="59" customFormat="1" x14ac:dyDescent="0.3">
      <c r="A33"/>
      <c r="B33" s="228" t="s">
        <v>220</v>
      </c>
      <c r="C33" s="280" t="s">
        <v>221</v>
      </c>
      <c r="D33" s="307">
        <v>0</v>
      </c>
      <c r="E33" s="311"/>
      <c r="F33" s="311"/>
      <c r="G33" s="311"/>
      <c r="H33" s="311"/>
      <c r="I33" s="311"/>
      <c r="J33" s="311"/>
      <c r="K33" s="183" t="s">
        <v>348</v>
      </c>
      <c r="L33" s="255" t="str">
        <f>K33</f>
        <v>Proposta Comercial</v>
      </c>
      <c r="M33" s="184"/>
      <c r="P33"/>
      <c r="Q33"/>
      <c r="R33"/>
      <c r="S33"/>
    </row>
    <row r="34" spans="1:19" s="59" customFormat="1" x14ac:dyDescent="0.3">
      <c r="A34"/>
      <c r="B34" s="228" t="s">
        <v>222</v>
      </c>
      <c r="C34" s="280" t="s">
        <v>221</v>
      </c>
      <c r="D34" s="307">
        <v>0</v>
      </c>
      <c r="E34" s="311"/>
      <c r="F34" s="311"/>
      <c r="G34" s="311"/>
      <c r="H34" s="311"/>
      <c r="I34" s="311"/>
      <c r="J34" s="311"/>
      <c r="K34" s="183" t="str">
        <f t="shared" si="2"/>
        <v>Proposta Comercial</v>
      </c>
      <c r="L34" s="255" t="str">
        <f>L33</f>
        <v>Proposta Comercial</v>
      </c>
      <c r="M34" s="184"/>
      <c r="P34"/>
      <c r="Q34"/>
      <c r="R34"/>
      <c r="S34"/>
    </row>
    <row r="35" spans="1:19" s="59" customFormat="1" x14ac:dyDescent="0.3">
      <c r="A35"/>
      <c r="B35" s="228" t="s">
        <v>223</v>
      </c>
      <c r="C35" s="280" t="s">
        <v>221</v>
      </c>
      <c r="D35" s="307"/>
      <c r="E35" s="311"/>
      <c r="F35" s="311"/>
      <c r="G35" s="311"/>
      <c r="H35" s="311"/>
      <c r="I35" s="311"/>
      <c r="J35" s="311"/>
      <c r="K35" s="183" t="str">
        <f t="shared" si="2"/>
        <v>Proposta Comercial</v>
      </c>
      <c r="L35" s="255" t="str">
        <f>L34</f>
        <v>Proposta Comercial</v>
      </c>
      <c r="M35" s="184"/>
      <c r="P35"/>
      <c r="Q35"/>
      <c r="R35"/>
      <c r="S35"/>
    </row>
    <row r="36" spans="1:19" s="59" customFormat="1" x14ac:dyDescent="0.3">
      <c r="A36"/>
      <c r="B36" s="228" t="s">
        <v>224</v>
      </c>
      <c r="C36" s="280" t="s">
        <v>221</v>
      </c>
      <c r="D36" s="307">
        <v>0</v>
      </c>
      <c r="E36" s="311"/>
      <c r="F36" s="311"/>
      <c r="G36" s="311"/>
      <c r="H36" s="311"/>
      <c r="I36" s="311"/>
      <c r="J36" s="311"/>
      <c r="K36" s="183" t="str">
        <f t="shared" si="2"/>
        <v>Proposta Comercial</v>
      </c>
      <c r="L36" s="255" t="str">
        <f>L35</f>
        <v>Proposta Comercial</v>
      </c>
      <c r="M36" s="34"/>
      <c r="P36"/>
      <c r="Q36"/>
      <c r="R36"/>
      <c r="S36"/>
    </row>
    <row r="37" spans="1:19" s="59" customFormat="1" x14ac:dyDescent="0.3">
      <c r="A37"/>
      <c r="B37" s="228" t="s">
        <v>225</v>
      </c>
      <c r="C37" s="280" t="s">
        <v>221</v>
      </c>
      <c r="D37" s="307">
        <v>0</v>
      </c>
      <c r="E37" s="311"/>
      <c r="F37" s="311"/>
      <c r="G37" s="311"/>
      <c r="H37" s="311"/>
      <c r="I37" s="311"/>
      <c r="J37" s="311"/>
      <c r="K37" s="183" t="str">
        <f t="shared" si="2"/>
        <v>Proposta Comercial</v>
      </c>
      <c r="L37" s="255" t="str">
        <f>L36</f>
        <v>Proposta Comercial</v>
      </c>
      <c r="P37"/>
      <c r="Q37"/>
      <c r="R37"/>
      <c r="S37"/>
    </row>
    <row r="38" spans="1:19" x14ac:dyDescent="0.3">
      <c r="H38" s="323"/>
      <c r="I38" s="323"/>
      <c r="J38" s="323"/>
    </row>
    <row r="39" spans="1:19" x14ac:dyDescent="0.3">
      <c r="B39" s="151" t="s">
        <v>226</v>
      </c>
      <c r="C39" s="296"/>
      <c r="D39" s="296"/>
      <c r="E39" s="296"/>
      <c r="F39" s="296"/>
      <c r="G39" s="296"/>
      <c r="H39" s="159"/>
      <c r="I39" s="159"/>
      <c r="J39" s="159"/>
      <c r="K39" s="330"/>
      <c r="L39" s="24"/>
    </row>
    <row r="40" spans="1:19" x14ac:dyDescent="0.3">
      <c r="B40" s="294" t="s">
        <v>227</v>
      </c>
      <c r="C40" s="301" t="s">
        <v>345</v>
      </c>
      <c r="D40" s="309">
        <v>10296.93</v>
      </c>
      <c r="E40" s="316"/>
      <c r="F40" s="316"/>
      <c r="G40" s="316"/>
      <c r="H40" s="316"/>
      <c r="I40" s="316"/>
      <c r="J40" s="316"/>
      <c r="K40" s="308" t="str">
        <f>K32</f>
        <v>Edital - Anexo II - 5. Custos</v>
      </c>
      <c r="L40" s="167" t="s">
        <v>337</v>
      </c>
    </row>
    <row r="41" spans="1:19" x14ac:dyDescent="0.3">
      <c r="B41" s="228" t="s">
        <v>228</v>
      </c>
      <c r="C41" s="280" t="s">
        <v>229</v>
      </c>
      <c r="D41" s="310">
        <f>'Tarifa_Técnica - PLANUM'!M6</f>
        <v>49</v>
      </c>
      <c r="E41" s="311"/>
      <c r="F41" s="311"/>
      <c r="G41" s="311"/>
      <c r="H41" s="311"/>
      <c r="I41" s="311"/>
      <c r="J41" s="311"/>
      <c r="K41" s="183" t="s">
        <v>351</v>
      </c>
      <c r="L41" s="255" t="s">
        <v>352</v>
      </c>
    </row>
    <row r="42" spans="1:19" x14ac:dyDescent="0.3">
      <c r="B42" s="228" t="s">
        <v>139</v>
      </c>
      <c r="C42" s="280" t="s">
        <v>216</v>
      </c>
      <c r="D42" s="307">
        <v>63046.48</v>
      </c>
      <c r="E42" s="311"/>
      <c r="F42" s="311"/>
      <c r="G42" s="311"/>
      <c r="H42" s="311"/>
      <c r="I42" s="311"/>
      <c r="J42" s="311"/>
      <c r="K42" s="183" t="s">
        <v>348</v>
      </c>
      <c r="L42" s="255" t="s">
        <v>348</v>
      </c>
    </row>
    <row r="43" spans="1:19" x14ac:dyDescent="0.3">
      <c r="B43" s="228" t="s">
        <v>142</v>
      </c>
      <c r="C43" s="280" t="s">
        <v>216</v>
      </c>
      <c r="D43" s="311">
        <v>0</v>
      </c>
      <c r="E43" s="311"/>
      <c r="F43" s="311"/>
      <c r="G43" s="311"/>
      <c r="H43" s="311"/>
      <c r="I43" s="311"/>
      <c r="J43" s="311"/>
      <c r="K43" s="183" t="s">
        <v>348</v>
      </c>
      <c r="L43" s="255" t="s">
        <v>348</v>
      </c>
    </row>
    <row r="46" spans="1:19" x14ac:dyDescent="0.3">
      <c r="B46" s="147" t="s">
        <v>380</v>
      </c>
      <c r="D46" s="275">
        <f>SUMPRODUCT(D30:I30,Tabelas_Dados_Op!B4:G4)/Tabelas_Dados_Op!I4</f>
        <v>671751.51020408166</v>
      </c>
    </row>
    <row r="47" spans="1:19" x14ac:dyDescent="0.3">
      <c r="F47" s="461"/>
    </row>
    <row r="50" spans="1:15" s="4" customFormat="1" x14ac:dyDescent="0.3">
      <c r="A50"/>
      <c r="B50" s="147"/>
      <c r="C50" s="275"/>
      <c r="D50" s="275"/>
      <c r="E50" s="275"/>
      <c r="F50" s="275"/>
      <c r="G50" s="275"/>
      <c r="H50" s="322"/>
      <c r="I50" s="322"/>
      <c r="J50" s="322"/>
      <c r="K50" s="275"/>
      <c r="L50" s="19"/>
      <c r="M50" s="59"/>
      <c r="N50" s="59"/>
      <c r="O50" s="59"/>
    </row>
    <row r="51" spans="1:15" s="4" customFormat="1" x14ac:dyDescent="0.3">
      <c r="A51"/>
      <c r="B51" s="147"/>
      <c r="C51" s="275"/>
      <c r="D51" s="275"/>
      <c r="E51" s="275"/>
      <c r="F51" s="275"/>
      <c r="G51" s="275"/>
      <c r="H51" s="322"/>
      <c r="I51" s="322"/>
      <c r="J51" s="322"/>
      <c r="K51" s="275"/>
      <c r="L51" s="19"/>
      <c r="M51" s="59"/>
      <c r="N51" s="59"/>
      <c r="O51" s="59"/>
    </row>
  </sheetData>
  <mergeCells count="2">
    <mergeCell ref="L30:L32"/>
    <mergeCell ref="D17:J17"/>
  </mergeCells>
  <hyperlinks>
    <hyperlink ref="L7" r:id="rId1" display="https://www.guaporepneus.com.br/caminhao-e-onibus/pneu-21575r17-5-bridgestone-dayton-d450z-liso-126124l-12-lonas" xr:uid="{642F61C5-56EF-44F8-BBC8-7BE154E3E763}"/>
    <hyperlink ref="L8" r:id="rId2" display="https://www.guaporepneus.com.br/caminhao-e-onibus/pneu-27580r22-5-pirelli-anteo-pro-s-liso-149146m-16-lonas" xr:uid="{A4E666DC-E64A-42DD-9554-A814D0D4210A}"/>
    <hyperlink ref="L9" r:id="rId3" display="https://www.guaporepneus.com.br/caminhao-e-onibus/pneu-29580r22-5-pirelli-anteo-pro-s-liso-152148m-18-lonas" xr:uid="{FF370472-8000-49B3-9E08-C01F5F30455F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2CCD-CBFE-456F-9E1E-4BDCF2C905DF}">
  <sheetPr codeName="Planilha8">
    <tabColor theme="3" tint="0.749992370372631"/>
  </sheetPr>
  <dimension ref="B1:H23"/>
  <sheetViews>
    <sheetView workbookViewId="0">
      <selection activeCell="H37" sqref="H37"/>
    </sheetView>
  </sheetViews>
  <sheetFormatPr defaultRowHeight="14.4" x14ac:dyDescent="0.3"/>
  <cols>
    <col min="2" max="2" width="17.6640625" bestFit="1" customWidth="1"/>
    <col min="3" max="3" width="14.5546875" style="19" bestFit="1" customWidth="1"/>
    <col min="4" max="4" width="15.5546875" style="19" bestFit="1" customWidth="1"/>
    <col min="5" max="5" width="11.44140625" style="19" bestFit="1" customWidth="1"/>
    <col min="6" max="6" width="15.6640625" style="19" customWidth="1"/>
    <col min="7" max="7" width="10.88671875" style="19" customWidth="1"/>
    <col min="8" max="8" width="11.44140625" style="19" bestFit="1" customWidth="1"/>
  </cols>
  <sheetData>
    <row r="1" spans="2:8" x14ac:dyDescent="0.3">
      <c r="B1" s="186" t="s">
        <v>233</v>
      </c>
    </row>
    <row r="2" spans="2:8" x14ac:dyDescent="0.3">
      <c r="B2" s="189"/>
      <c r="C2" s="188" t="s">
        <v>235</v>
      </c>
      <c r="D2" s="188" t="s">
        <v>236</v>
      </c>
      <c r="E2" s="188" t="s">
        <v>237</v>
      </c>
      <c r="F2" s="190" t="s">
        <v>238</v>
      </c>
      <c r="G2" s="190" t="s">
        <v>239</v>
      </c>
    </row>
    <row r="3" spans="2:8" x14ac:dyDescent="0.3">
      <c r="B3" s="192" t="s">
        <v>6</v>
      </c>
      <c r="C3" s="250">
        <v>0</v>
      </c>
      <c r="D3" s="250">
        <v>0</v>
      </c>
      <c r="E3" s="250">
        <v>0</v>
      </c>
      <c r="F3" s="250">
        <v>0</v>
      </c>
      <c r="G3" s="250">
        <v>0</v>
      </c>
    </row>
    <row r="5" spans="2:8" x14ac:dyDescent="0.3">
      <c r="F5" s="193" t="s">
        <v>240</v>
      </c>
      <c r="G5" s="194">
        <f>SUM(C3:G3)</f>
        <v>0</v>
      </c>
    </row>
    <row r="7" spans="2:8" x14ac:dyDescent="0.3">
      <c r="B7" s="186" t="s">
        <v>241</v>
      </c>
      <c r="C7" s="192">
        <v>15</v>
      </c>
      <c r="D7" s="192">
        <v>15</v>
      </c>
      <c r="E7" s="192">
        <v>8</v>
      </c>
      <c r="F7" s="192">
        <v>5</v>
      </c>
      <c r="G7" s="192">
        <v>5</v>
      </c>
      <c r="H7" s="193" t="e">
        <f>SUMPRODUCT(C7:G7,C3:G3)/G5</f>
        <v>#DIV/0!</v>
      </c>
    </row>
    <row r="8" spans="2:8" x14ac:dyDescent="0.3">
      <c r="B8" s="186" t="s">
        <v>242</v>
      </c>
      <c r="C8" s="195">
        <v>0.1</v>
      </c>
      <c r="D8" s="195">
        <v>0.1</v>
      </c>
      <c r="E8" s="195">
        <v>0.15</v>
      </c>
      <c r="F8" s="195">
        <v>0.2</v>
      </c>
      <c r="G8" s="195">
        <v>0.2</v>
      </c>
      <c r="H8" s="193" t="e">
        <f>SUMPRODUCT(C8:G8,C3:G3)/G5</f>
        <v>#DIV/0!</v>
      </c>
    </row>
    <row r="9" spans="2:8" x14ac:dyDescent="0.3">
      <c r="B9" s="186" t="s">
        <v>243</v>
      </c>
      <c r="C9" s="251">
        <v>200000</v>
      </c>
      <c r="D9" s="251">
        <v>200000</v>
      </c>
      <c r="E9" s="251">
        <v>70000</v>
      </c>
      <c r="F9" s="251">
        <v>60000</v>
      </c>
      <c r="G9" s="251">
        <v>15000</v>
      </c>
      <c r="H9" s="52" t="e">
        <f>SUMPRODUCT(C9:G9,C3:G3)/G5</f>
        <v>#DIV/0!</v>
      </c>
    </row>
    <row r="11" spans="2:8" x14ac:dyDescent="0.3">
      <c r="B11" s="186" t="s">
        <v>69</v>
      </c>
      <c r="C11" s="196">
        <f>(C9*1/C7*(1-C8))/12*C3</f>
        <v>0</v>
      </c>
      <c r="D11" s="196">
        <f>(D9*1/D7*(1-D8))/12*D3</f>
        <v>0</v>
      </c>
      <c r="E11" s="196">
        <f>(E9*1/E7*(1-E8))/12*E3</f>
        <v>0</v>
      </c>
      <c r="F11" s="196">
        <f>(F9*1/F7*(1-F8))/12*F3</f>
        <v>0</v>
      </c>
      <c r="G11" s="196">
        <f>(G9*1/G7*(1-G8))/12*G3</f>
        <v>0</v>
      </c>
      <c r="H11" s="197">
        <f>SUM(C11:G11)</f>
        <v>0</v>
      </c>
    </row>
    <row r="13" spans="2:8" x14ac:dyDescent="0.3">
      <c r="B13" s="186" t="s">
        <v>244</v>
      </c>
      <c r="C13" s="198">
        <f>IF(C3=0,0,1/C7)</f>
        <v>0</v>
      </c>
      <c r="D13" s="198">
        <f>IF(D3=0,0,1/D7)</f>
        <v>0</v>
      </c>
      <c r="E13" s="198">
        <f>IF(E3=0,0,1/E7)</f>
        <v>0</v>
      </c>
      <c r="F13" s="198">
        <f>IF(F3=0,0,1/F7)</f>
        <v>0</v>
      </c>
      <c r="G13" s="198">
        <f>IF(G3=0,0,1/G7)</f>
        <v>0</v>
      </c>
    </row>
    <row r="15" spans="2:8" x14ac:dyDescent="0.3">
      <c r="B15" s="186" t="s">
        <v>245</v>
      </c>
      <c r="C15" s="120">
        <f>IF(C3=0,0,(1-(C13*C7/2))*C9)</f>
        <v>0</v>
      </c>
      <c r="D15" s="120">
        <f>IF(D3=0,0,(1-(D13*D7/2))*D9)</f>
        <v>0</v>
      </c>
      <c r="E15" s="120">
        <f>IF(E3=0,0,(1-(E13*E7/2))*E9)</f>
        <v>0</v>
      </c>
      <c r="F15" s="120">
        <f>IF(F3=0,0,(1-(F13*F7/2))*F9)</f>
        <v>0</v>
      </c>
      <c r="G15" s="120">
        <f>IF(G3=0,0,(1-(G13*G7/2))*G9)</f>
        <v>0</v>
      </c>
      <c r="H15" s="120">
        <f>SUM(C15:G15)</f>
        <v>0</v>
      </c>
    </row>
    <row r="16" spans="2:8" x14ac:dyDescent="0.3">
      <c r="B16" s="186"/>
      <c r="C16" s="120"/>
      <c r="D16" s="120"/>
      <c r="E16" s="120"/>
      <c r="F16" s="120"/>
      <c r="G16" s="120"/>
      <c r="H16" s="120"/>
    </row>
    <row r="17" spans="2:8" x14ac:dyDescent="0.3">
      <c r="B17" s="186"/>
      <c r="C17" s="120"/>
      <c r="D17" s="120"/>
      <c r="E17" s="120"/>
      <c r="F17" s="120"/>
      <c r="G17" s="120"/>
      <c r="H17" s="120"/>
    </row>
    <row r="18" spans="2:8" x14ac:dyDescent="0.3">
      <c r="B18" s="186"/>
      <c r="C18" s="120"/>
      <c r="D18" s="120"/>
      <c r="E18" s="120"/>
      <c r="F18" s="120"/>
      <c r="G18" s="120"/>
      <c r="H18" s="120"/>
    </row>
    <row r="19" spans="2:8" x14ac:dyDescent="0.3">
      <c r="B19" s="186"/>
      <c r="C19" s="120"/>
      <c r="D19" s="120"/>
      <c r="E19" s="389"/>
      <c r="F19" s="120"/>
      <c r="G19" s="120"/>
      <c r="H19" s="120"/>
    </row>
    <row r="20" spans="2:8" x14ac:dyDescent="0.3">
      <c r="B20" s="186"/>
      <c r="C20" s="120"/>
      <c r="D20" s="120"/>
      <c r="E20" s="120"/>
      <c r="F20" s="120"/>
      <c r="G20" s="120"/>
      <c r="H20" s="120"/>
    </row>
    <row r="21" spans="2:8" x14ac:dyDescent="0.3">
      <c r="B21" s="186"/>
      <c r="C21" s="120"/>
      <c r="D21" s="120"/>
      <c r="E21" s="120"/>
      <c r="F21" s="120"/>
      <c r="G21" s="120"/>
      <c r="H21" s="120"/>
    </row>
    <row r="22" spans="2:8" x14ac:dyDescent="0.3">
      <c r="B22" s="186"/>
      <c r="C22" s="120"/>
      <c r="D22" s="120"/>
      <c r="E22" s="120"/>
      <c r="F22" s="120"/>
      <c r="G22" s="120"/>
      <c r="H22" s="120"/>
    </row>
    <row r="23" spans="2:8" x14ac:dyDescent="0.3">
      <c r="B23" s="186"/>
      <c r="C23" s="120"/>
      <c r="D23" s="120"/>
      <c r="E23" s="120"/>
      <c r="F23" s="120"/>
      <c r="G23" s="120"/>
      <c r="H23" s="120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257E-244D-4DB1-8023-486705E5E6A7}">
  <sheetPr codeName="Planilha9">
    <tabColor theme="3" tint="0.749992370372631"/>
  </sheetPr>
  <dimension ref="A1:Y20"/>
  <sheetViews>
    <sheetView workbookViewId="0">
      <selection activeCell="V18" sqref="V18"/>
    </sheetView>
  </sheetViews>
  <sheetFormatPr defaultRowHeight="14.4" x14ac:dyDescent="0.3"/>
  <cols>
    <col min="8" max="8" width="10.5546875" bestFit="1" customWidth="1"/>
    <col min="9" max="9" width="18" bestFit="1" customWidth="1"/>
    <col min="10" max="10" width="17.88671875" bestFit="1" customWidth="1"/>
    <col min="11" max="11" width="17.44140625" customWidth="1"/>
    <col min="12" max="12" width="16.33203125" bestFit="1" customWidth="1"/>
    <col min="13" max="13" width="12.44140625" bestFit="1" customWidth="1"/>
    <col min="14" max="14" width="15" bestFit="1" customWidth="1"/>
    <col min="15" max="15" width="17.109375" customWidth="1"/>
    <col min="18" max="18" width="14" customWidth="1"/>
    <col min="19" max="19" width="18" bestFit="1" customWidth="1"/>
    <col min="20" max="20" width="16.88671875" customWidth="1"/>
    <col min="21" max="21" width="16.6640625" bestFit="1" customWidth="1"/>
    <col min="22" max="22" width="16.33203125" customWidth="1"/>
    <col min="23" max="23" width="12.44140625" bestFit="1" customWidth="1"/>
    <col min="24" max="24" width="15" customWidth="1"/>
    <col min="25" max="25" width="16.109375" customWidth="1"/>
  </cols>
  <sheetData>
    <row r="1" spans="1:25" x14ac:dyDescent="0.3">
      <c r="A1" s="566" t="s">
        <v>246</v>
      </c>
      <c r="B1" s="567"/>
      <c r="C1" s="567"/>
      <c r="D1" s="568"/>
      <c r="E1" s="569" t="s">
        <v>247</v>
      </c>
      <c r="G1" s="199" t="s">
        <v>248</v>
      </c>
      <c r="H1" s="200" t="s">
        <v>249</v>
      </c>
      <c r="R1" s="186" t="s">
        <v>9</v>
      </c>
    </row>
    <row r="2" spans="1:25" x14ac:dyDescent="0.3">
      <c r="A2" s="566" t="s">
        <v>250</v>
      </c>
      <c r="B2" s="567"/>
      <c r="C2" s="567"/>
      <c r="D2" s="568"/>
      <c r="E2" s="570"/>
      <c r="G2" s="190" t="s">
        <v>251</v>
      </c>
      <c r="H2" s="190" t="s">
        <v>247</v>
      </c>
      <c r="I2" s="190" t="str">
        <f>'Tarifa_Técnica - PLANUM'!E4</f>
        <v>Microônibus - Sem Ar</v>
      </c>
      <c r="J2" s="190" t="str">
        <f>'Tarifa_Técnica - PLANUM'!F4</f>
        <v>Microônibus - Com Ar</v>
      </c>
      <c r="K2" s="190" t="str">
        <f>'Tarifa_Técnica - PLANUM'!G4</f>
        <v>Midiônibus - Sem Ar</v>
      </c>
      <c r="L2" s="190" t="str">
        <f>'Tarifa_Técnica - PLANUM'!H4</f>
        <v>Midiônibus - Com Ar</v>
      </c>
      <c r="M2" s="190" t="str">
        <f>'Tarifa_Técnica - PLANUM'!I4</f>
        <v>Básico - Sem Ar</v>
      </c>
      <c r="N2" s="190" t="str">
        <f>'Tarifa_Técnica - PLANUM'!J4</f>
        <v>Básico - Com Ar</v>
      </c>
      <c r="O2" s="190" t="str">
        <f>'Tarifa_Técnica - PLANUM'!K4</f>
        <v>Ônibus Padron</v>
      </c>
      <c r="P2" s="201" t="s">
        <v>252</v>
      </c>
      <c r="R2" s="187" t="s">
        <v>234</v>
      </c>
      <c r="S2" s="188" t="str">
        <f t="shared" ref="S2:Y2" si="0">I2</f>
        <v>Microônibus - Sem Ar</v>
      </c>
      <c r="T2" s="188" t="str">
        <f t="shared" si="0"/>
        <v>Microônibus - Com Ar</v>
      </c>
      <c r="U2" s="188" t="str">
        <f t="shared" si="0"/>
        <v>Midiônibus - Sem Ar</v>
      </c>
      <c r="V2" s="202" t="str">
        <f t="shared" si="0"/>
        <v>Midiônibus - Com Ar</v>
      </c>
      <c r="W2" s="202" t="str">
        <f t="shared" si="0"/>
        <v>Básico - Sem Ar</v>
      </c>
      <c r="X2" s="202" t="str">
        <f t="shared" si="0"/>
        <v>Básico - Com Ar</v>
      </c>
      <c r="Y2" s="202" t="str">
        <f t="shared" si="0"/>
        <v>Ônibus Padron</v>
      </c>
    </row>
    <row r="3" spans="1:25" x14ac:dyDescent="0.3">
      <c r="A3" s="562" t="s">
        <v>253</v>
      </c>
      <c r="B3" s="563"/>
      <c r="C3" s="563"/>
      <c r="D3" s="564"/>
      <c r="E3" s="203">
        <v>0.06</v>
      </c>
      <c r="G3" s="204" t="s">
        <v>254</v>
      </c>
      <c r="H3" s="205">
        <v>0.06</v>
      </c>
      <c r="I3" s="206">
        <f t="shared" ref="I3:O3" si="1">$H3*S3</f>
        <v>0</v>
      </c>
      <c r="J3" s="206">
        <f t="shared" si="1"/>
        <v>0</v>
      </c>
      <c r="K3" s="206">
        <f t="shared" si="1"/>
        <v>0</v>
      </c>
      <c r="L3" s="206">
        <f t="shared" si="1"/>
        <v>0</v>
      </c>
      <c r="M3" s="206">
        <f t="shared" si="1"/>
        <v>0</v>
      </c>
      <c r="N3" s="206">
        <f t="shared" si="1"/>
        <v>0</v>
      </c>
      <c r="O3" s="206">
        <f t="shared" si="1"/>
        <v>0</v>
      </c>
      <c r="P3" s="206">
        <f>SUM(I3:O3)</f>
        <v>0</v>
      </c>
      <c r="R3" s="191">
        <v>0</v>
      </c>
      <c r="S3" s="191">
        <f>Planilha1!D6</f>
        <v>0</v>
      </c>
      <c r="T3" s="191">
        <f>Planilha1!E6</f>
        <v>0</v>
      </c>
      <c r="U3" s="191">
        <f>Planilha1!F6</f>
        <v>0</v>
      </c>
      <c r="V3" s="191">
        <f>Planilha1!G6</f>
        <v>0</v>
      </c>
      <c r="W3" s="191">
        <f>Planilha1!H6</f>
        <v>0</v>
      </c>
      <c r="X3" s="191">
        <f>Planilha1!I6</f>
        <v>0</v>
      </c>
      <c r="Y3" s="191">
        <v>0</v>
      </c>
    </row>
    <row r="4" spans="1:25" x14ac:dyDescent="0.3">
      <c r="A4" s="562" t="s">
        <v>255</v>
      </c>
      <c r="B4" s="563"/>
      <c r="C4" s="563"/>
      <c r="D4" s="564"/>
      <c r="E4" s="203">
        <v>7.0000000000000007E-2</v>
      </c>
      <c r="G4" s="207" t="s">
        <v>256</v>
      </c>
      <c r="H4" s="208">
        <v>0.06</v>
      </c>
      <c r="I4" s="206">
        <f t="shared" ref="I4:I15" si="2">$H4*S4</f>
        <v>0</v>
      </c>
      <c r="J4" s="206">
        <f t="shared" ref="J4:J15" si="3">$H4*T4</f>
        <v>0.06</v>
      </c>
      <c r="K4" s="206">
        <f t="shared" ref="K4:K15" si="4">$H4*U4</f>
        <v>0</v>
      </c>
      <c r="L4" s="206">
        <f t="shared" ref="L4:L15" si="5">$H4*V4</f>
        <v>1.3199999999999998</v>
      </c>
      <c r="M4" s="206">
        <f t="shared" ref="M4:M15" si="6">$H4*W4</f>
        <v>0</v>
      </c>
      <c r="N4" s="206">
        <f t="shared" ref="N4:N15" si="7">$H4*X4</f>
        <v>0.3</v>
      </c>
      <c r="O4" s="206">
        <f t="shared" ref="O4:O15" si="8">$H4*Y4</f>
        <v>0</v>
      </c>
      <c r="P4" s="206">
        <f t="shared" ref="P4:P15" si="9">SUM(I4:O4)</f>
        <v>1.68</v>
      </c>
      <c r="R4" s="191">
        <v>1</v>
      </c>
      <c r="S4" s="191">
        <f>Planilha1!D7</f>
        <v>0</v>
      </c>
      <c r="T4" s="191">
        <f>Planilha1!E7</f>
        <v>1</v>
      </c>
      <c r="U4" s="191">
        <f>Planilha1!F7</f>
        <v>0</v>
      </c>
      <c r="V4" s="191">
        <f>Planilha1!G7</f>
        <v>22</v>
      </c>
      <c r="W4" s="191">
        <f>Planilha1!H7</f>
        <v>0</v>
      </c>
      <c r="X4" s="191">
        <f>Planilha1!I7</f>
        <v>5</v>
      </c>
      <c r="Y4" s="191">
        <v>0</v>
      </c>
    </row>
    <row r="5" spans="1:25" x14ac:dyDescent="0.3">
      <c r="A5" s="562" t="s">
        <v>257</v>
      </c>
      <c r="B5" s="563"/>
      <c r="C5" s="563"/>
      <c r="D5" s="564"/>
      <c r="E5" s="203">
        <v>0.08</v>
      </c>
      <c r="G5" s="207" t="s">
        <v>258</v>
      </c>
      <c r="H5" s="208">
        <v>0.06</v>
      </c>
      <c r="I5" s="206">
        <f t="shared" si="2"/>
        <v>0</v>
      </c>
      <c r="J5" s="206">
        <f t="shared" si="3"/>
        <v>0</v>
      </c>
      <c r="K5" s="206">
        <f t="shared" si="4"/>
        <v>0</v>
      </c>
      <c r="L5" s="206">
        <f t="shared" si="5"/>
        <v>0</v>
      </c>
      <c r="M5" s="206">
        <f t="shared" si="6"/>
        <v>0</v>
      </c>
      <c r="N5" s="206">
        <f t="shared" si="7"/>
        <v>0</v>
      </c>
      <c r="O5" s="206">
        <f t="shared" si="8"/>
        <v>0</v>
      </c>
      <c r="P5" s="206">
        <f t="shared" si="9"/>
        <v>0</v>
      </c>
      <c r="R5" s="191">
        <v>2</v>
      </c>
      <c r="S5" s="191">
        <f>Planilha1!D8</f>
        <v>0</v>
      </c>
      <c r="T5" s="191">
        <f>Planilha1!E8</f>
        <v>0</v>
      </c>
      <c r="U5" s="191">
        <f>Planilha1!F8</f>
        <v>0</v>
      </c>
      <c r="V5" s="191">
        <f>Planilha1!G8</f>
        <v>0</v>
      </c>
      <c r="W5" s="191">
        <f>Planilha1!H8</f>
        <v>0</v>
      </c>
      <c r="X5" s="191">
        <f>Planilha1!I8</f>
        <v>0</v>
      </c>
      <c r="Y5" s="191">
        <v>0</v>
      </c>
    </row>
    <row r="6" spans="1:25" x14ac:dyDescent="0.3">
      <c r="A6" s="562" t="s">
        <v>259</v>
      </c>
      <c r="B6" s="563"/>
      <c r="C6" s="563"/>
      <c r="D6" s="564"/>
      <c r="E6" s="203">
        <v>0.09</v>
      </c>
      <c r="G6" s="204" t="s">
        <v>260</v>
      </c>
      <c r="H6" s="205">
        <v>7.0000000000000007E-2</v>
      </c>
      <c r="I6" s="206">
        <f t="shared" si="2"/>
        <v>0</v>
      </c>
      <c r="J6" s="206">
        <f t="shared" si="3"/>
        <v>0</v>
      </c>
      <c r="K6" s="206">
        <f t="shared" si="4"/>
        <v>0</v>
      </c>
      <c r="L6" s="206">
        <f t="shared" si="5"/>
        <v>0</v>
      </c>
      <c r="M6" s="206">
        <f t="shared" si="6"/>
        <v>0</v>
      </c>
      <c r="N6" s="206">
        <f t="shared" si="7"/>
        <v>0</v>
      </c>
      <c r="O6" s="206">
        <f t="shared" si="8"/>
        <v>0</v>
      </c>
      <c r="P6" s="206">
        <f t="shared" si="9"/>
        <v>0</v>
      </c>
      <c r="R6" s="191">
        <v>3</v>
      </c>
      <c r="S6" s="191">
        <f>Planilha1!D9</f>
        <v>0</v>
      </c>
      <c r="T6" s="191">
        <f>Planilha1!E9</f>
        <v>0</v>
      </c>
      <c r="U6" s="191">
        <f>Planilha1!F9</f>
        <v>0</v>
      </c>
      <c r="V6" s="191">
        <f>Planilha1!G9</f>
        <v>0</v>
      </c>
      <c r="W6" s="191">
        <f>Planilha1!H9</f>
        <v>0</v>
      </c>
      <c r="X6" s="191">
        <f>Planilha1!I9</f>
        <v>0</v>
      </c>
      <c r="Y6" s="191">
        <v>0</v>
      </c>
    </row>
    <row r="7" spans="1:25" x14ac:dyDescent="0.3">
      <c r="A7" s="562" t="s">
        <v>261</v>
      </c>
      <c r="B7" s="563"/>
      <c r="C7" s="563"/>
      <c r="D7" s="564"/>
      <c r="E7" s="203">
        <v>0.1</v>
      </c>
      <c r="G7" s="207" t="s">
        <v>262</v>
      </c>
      <c r="H7" s="208">
        <v>7.0000000000000007E-2</v>
      </c>
      <c r="I7" s="206">
        <f t="shared" si="2"/>
        <v>0</v>
      </c>
      <c r="J7" s="206">
        <f t="shared" si="3"/>
        <v>0</v>
      </c>
      <c r="K7" s="206">
        <f t="shared" si="4"/>
        <v>0</v>
      </c>
      <c r="L7" s="206">
        <f t="shared" si="5"/>
        <v>0</v>
      </c>
      <c r="M7" s="206">
        <f t="shared" si="6"/>
        <v>0</v>
      </c>
      <c r="N7" s="206">
        <f t="shared" si="7"/>
        <v>0</v>
      </c>
      <c r="O7" s="206">
        <f t="shared" si="8"/>
        <v>0</v>
      </c>
      <c r="P7" s="206">
        <f t="shared" si="9"/>
        <v>0</v>
      </c>
      <c r="R7" s="191">
        <v>4</v>
      </c>
      <c r="S7" s="191">
        <f>Planilha1!D10</f>
        <v>0</v>
      </c>
      <c r="T7" s="191">
        <f>Planilha1!E10</f>
        <v>0</v>
      </c>
      <c r="U7" s="191">
        <f>Planilha1!F10</f>
        <v>0</v>
      </c>
      <c r="V7" s="191">
        <f>Planilha1!G10</f>
        <v>0</v>
      </c>
      <c r="W7" s="191">
        <f>Planilha1!H10</f>
        <v>0</v>
      </c>
      <c r="X7" s="191">
        <f>Planilha1!I10</f>
        <v>0</v>
      </c>
      <c r="Y7" s="191">
        <v>0</v>
      </c>
    </row>
    <row r="8" spans="1:25" x14ac:dyDescent="0.3">
      <c r="A8" s="565" t="s">
        <v>263</v>
      </c>
      <c r="B8" s="565"/>
      <c r="C8" s="565"/>
      <c r="D8" s="565"/>
      <c r="E8" s="203">
        <v>0.12</v>
      </c>
      <c r="G8" s="207" t="s">
        <v>264</v>
      </c>
      <c r="H8" s="208">
        <v>0.08</v>
      </c>
      <c r="I8" s="206">
        <f t="shared" si="2"/>
        <v>0</v>
      </c>
      <c r="J8" s="206">
        <f t="shared" si="3"/>
        <v>0</v>
      </c>
      <c r="K8" s="206">
        <f t="shared" si="4"/>
        <v>0</v>
      </c>
      <c r="L8" s="206">
        <f t="shared" si="5"/>
        <v>0</v>
      </c>
      <c r="M8" s="206">
        <f t="shared" si="6"/>
        <v>0</v>
      </c>
      <c r="N8" s="206">
        <f t="shared" si="7"/>
        <v>0</v>
      </c>
      <c r="O8" s="206">
        <f t="shared" si="8"/>
        <v>0</v>
      </c>
      <c r="P8" s="206">
        <f t="shared" si="9"/>
        <v>0</v>
      </c>
      <c r="R8" s="191">
        <v>5</v>
      </c>
      <c r="S8" s="191">
        <f>Planilha1!D11</f>
        <v>0</v>
      </c>
      <c r="T8" s="191">
        <f>Planilha1!E11</f>
        <v>0</v>
      </c>
      <c r="U8" s="191">
        <f>Planilha1!F11</f>
        <v>0</v>
      </c>
      <c r="V8" s="191">
        <f>Planilha1!G11</f>
        <v>0</v>
      </c>
      <c r="W8" s="191">
        <f>Planilha1!H11</f>
        <v>0</v>
      </c>
      <c r="X8" s="191">
        <f>Planilha1!I11</f>
        <v>0</v>
      </c>
      <c r="Y8" s="191">
        <v>0</v>
      </c>
    </row>
    <row r="9" spans="1:25" x14ac:dyDescent="0.3">
      <c r="G9" s="207" t="s">
        <v>265</v>
      </c>
      <c r="H9" s="208">
        <v>0.08</v>
      </c>
      <c r="I9" s="206">
        <f t="shared" si="2"/>
        <v>0</v>
      </c>
      <c r="J9" s="206">
        <f t="shared" si="3"/>
        <v>0</v>
      </c>
      <c r="K9" s="206">
        <f t="shared" si="4"/>
        <v>0</v>
      </c>
      <c r="L9" s="206">
        <f t="shared" si="5"/>
        <v>0</v>
      </c>
      <c r="M9" s="206">
        <f t="shared" si="6"/>
        <v>0</v>
      </c>
      <c r="N9" s="206">
        <f t="shared" si="7"/>
        <v>0</v>
      </c>
      <c r="O9" s="206">
        <f t="shared" si="8"/>
        <v>0</v>
      </c>
      <c r="P9" s="206">
        <f t="shared" si="9"/>
        <v>0</v>
      </c>
      <c r="R9" s="191">
        <f t="shared" ref="R9:R14" si="10">R8+1</f>
        <v>6</v>
      </c>
      <c r="S9" s="191">
        <f>Planilha1!D12</f>
        <v>0</v>
      </c>
      <c r="T9" s="191">
        <f>Planilha1!E12</f>
        <v>0</v>
      </c>
      <c r="U9" s="191">
        <f>Planilha1!F12</f>
        <v>0</v>
      </c>
      <c r="V9" s="191">
        <f>Planilha1!G12</f>
        <v>0</v>
      </c>
      <c r="W9" s="191">
        <f>Planilha1!H12</f>
        <v>0</v>
      </c>
      <c r="X9" s="191">
        <f>Planilha1!I12</f>
        <v>0</v>
      </c>
      <c r="Y9" s="191">
        <v>0</v>
      </c>
    </row>
    <row r="10" spans="1:25" x14ac:dyDescent="0.3">
      <c r="G10" s="207" t="s">
        <v>266</v>
      </c>
      <c r="H10" s="208">
        <v>0.09</v>
      </c>
      <c r="I10" s="206">
        <f>$H10*S10</f>
        <v>0</v>
      </c>
      <c r="J10" s="206">
        <f t="shared" si="3"/>
        <v>0</v>
      </c>
      <c r="K10" s="206">
        <f t="shared" si="4"/>
        <v>0</v>
      </c>
      <c r="L10" s="206">
        <f t="shared" si="5"/>
        <v>0</v>
      </c>
      <c r="M10" s="206">
        <f t="shared" si="6"/>
        <v>0</v>
      </c>
      <c r="N10" s="206">
        <f t="shared" si="7"/>
        <v>0</v>
      </c>
      <c r="O10" s="206">
        <f t="shared" si="8"/>
        <v>0</v>
      </c>
      <c r="P10" s="206">
        <f t="shared" si="9"/>
        <v>0</v>
      </c>
      <c r="R10" s="191">
        <f t="shared" si="10"/>
        <v>7</v>
      </c>
      <c r="S10" s="191">
        <f>Planilha1!D13</f>
        <v>0</v>
      </c>
      <c r="T10" s="191">
        <f>Planilha1!E13</f>
        <v>0</v>
      </c>
      <c r="U10" s="191">
        <f>Planilha1!F13</f>
        <v>0</v>
      </c>
      <c r="V10" s="191">
        <f>Planilha1!G13</f>
        <v>0</v>
      </c>
      <c r="W10" s="191">
        <f>Planilha1!H13</f>
        <v>0</v>
      </c>
      <c r="X10" s="191">
        <f>Planilha1!I13</f>
        <v>0</v>
      </c>
      <c r="Y10" s="191">
        <v>0</v>
      </c>
    </row>
    <row r="11" spans="1:25" x14ac:dyDescent="0.3">
      <c r="G11" s="207" t="s">
        <v>267</v>
      </c>
      <c r="H11" s="208">
        <v>0.09</v>
      </c>
      <c r="I11" s="206">
        <f t="shared" si="2"/>
        <v>0.89999999999999991</v>
      </c>
      <c r="J11" s="206">
        <f t="shared" si="3"/>
        <v>0</v>
      </c>
      <c r="K11" s="206">
        <f t="shared" si="4"/>
        <v>0</v>
      </c>
      <c r="L11" s="206">
        <f t="shared" si="5"/>
        <v>0</v>
      </c>
      <c r="M11" s="206">
        <f t="shared" si="6"/>
        <v>0</v>
      </c>
      <c r="N11" s="206">
        <f t="shared" si="7"/>
        <v>0</v>
      </c>
      <c r="O11" s="206">
        <f t="shared" si="8"/>
        <v>0</v>
      </c>
      <c r="P11" s="206">
        <f t="shared" si="9"/>
        <v>0.89999999999999991</v>
      </c>
      <c r="R11" s="191">
        <f t="shared" si="10"/>
        <v>8</v>
      </c>
      <c r="S11" s="191">
        <f>Planilha1!D14</f>
        <v>10</v>
      </c>
      <c r="T11" s="191">
        <f>Planilha1!E14</f>
        <v>0</v>
      </c>
      <c r="U11" s="191">
        <f>Planilha1!F14</f>
        <v>0</v>
      </c>
      <c r="V11" s="191">
        <f>Planilha1!G14</f>
        <v>0</v>
      </c>
      <c r="W11" s="191">
        <f>Planilha1!H14</f>
        <v>0</v>
      </c>
      <c r="X11" s="191">
        <f>Planilha1!I14</f>
        <v>0</v>
      </c>
      <c r="Y11" s="191">
        <v>0</v>
      </c>
    </row>
    <row r="12" spans="1:25" x14ac:dyDescent="0.3">
      <c r="G12" s="207" t="s">
        <v>268</v>
      </c>
      <c r="H12" s="208">
        <v>0.1</v>
      </c>
      <c r="I12" s="206">
        <f t="shared" si="2"/>
        <v>0</v>
      </c>
      <c r="J12" s="206">
        <f t="shared" si="3"/>
        <v>0</v>
      </c>
      <c r="K12" s="206">
        <f t="shared" si="4"/>
        <v>0</v>
      </c>
      <c r="L12" s="206">
        <f t="shared" si="5"/>
        <v>0</v>
      </c>
      <c r="M12" s="206">
        <f t="shared" si="6"/>
        <v>0</v>
      </c>
      <c r="N12" s="206">
        <f t="shared" si="7"/>
        <v>0</v>
      </c>
      <c r="O12" s="206">
        <f t="shared" si="8"/>
        <v>0</v>
      </c>
      <c r="P12" s="206">
        <f t="shared" si="9"/>
        <v>0</v>
      </c>
      <c r="R12" s="191">
        <f t="shared" si="10"/>
        <v>9</v>
      </c>
      <c r="S12" s="191">
        <f>Planilha1!D15</f>
        <v>0</v>
      </c>
      <c r="T12" s="191">
        <f>Planilha1!E15</f>
        <v>0</v>
      </c>
      <c r="U12" s="191">
        <f>Planilha1!F15</f>
        <v>0</v>
      </c>
      <c r="V12" s="191">
        <f>Planilha1!G15</f>
        <v>0</v>
      </c>
      <c r="W12" s="191">
        <f>Planilha1!H15</f>
        <v>0</v>
      </c>
      <c r="X12" s="191">
        <f>Planilha1!I15</f>
        <v>0</v>
      </c>
      <c r="Y12" s="191">
        <v>0</v>
      </c>
    </row>
    <row r="13" spans="1:25" x14ac:dyDescent="0.3">
      <c r="G13" s="204" t="s">
        <v>269</v>
      </c>
      <c r="H13" s="205">
        <v>0.1</v>
      </c>
      <c r="I13" s="206">
        <f t="shared" si="2"/>
        <v>0</v>
      </c>
      <c r="J13" s="206">
        <f t="shared" si="3"/>
        <v>0</v>
      </c>
      <c r="K13" s="206">
        <f>$H13*U13</f>
        <v>0</v>
      </c>
      <c r="L13" s="206">
        <f t="shared" si="5"/>
        <v>0</v>
      </c>
      <c r="M13" s="206">
        <f t="shared" si="6"/>
        <v>0</v>
      </c>
      <c r="N13" s="206">
        <f t="shared" si="7"/>
        <v>0</v>
      </c>
      <c r="O13" s="206">
        <f t="shared" si="8"/>
        <v>0</v>
      </c>
      <c r="P13" s="206">
        <f t="shared" si="9"/>
        <v>0</v>
      </c>
      <c r="R13" s="191">
        <f t="shared" si="10"/>
        <v>10</v>
      </c>
      <c r="S13" s="191">
        <f>Planilha1!D16</f>
        <v>0</v>
      </c>
      <c r="T13" s="191">
        <f>Planilha1!E16</f>
        <v>0</v>
      </c>
      <c r="U13" s="191">
        <f>Planilha1!F16</f>
        <v>0</v>
      </c>
      <c r="V13" s="191">
        <f>Planilha1!G16</f>
        <v>0</v>
      </c>
      <c r="W13" s="191">
        <f>Planilha1!H16</f>
        <v>0</v>
      </c>
      <c r="X13" s="191">
        <f>Planilha1!I16</f>
        <v>0</v>
      </c>
      <c r="Y13" s="191">
        <v>0</v>
      </c>
    </row>
    <row r="14" spans="1:25" x14ac:dyDescent="0.3">
      <c r="G14" s="207" t="s">
        <v>270</v>
      </c>
      <c r="H14" s="208">
        <v>0.12</v>
      </c>
      <c r="I14" s="206">
        <f t="shared" si="2"/>
        <v>0</v>
      </c>
      <c r="J14" s="206">
        <f t="shared" si="3"/>
        <v>0</v>
      </c>
      <c r="K14" s="206">
        <f>$H14*U14</f>
        <v>1.3199999999999998</v>
      </c>
      <c r="L14" s="206">
        <f t="shared" si="5"/>
        <v>0</v>
      </c>
      <c r="M14" s="206">
        <f t="shared" si="6"/>
        <v>0</v>
      </c>
      <c r="N14" s="206">
        <f t="shared" si="7"/>
        <v>0</v>
      </c>
      <c r="O14" s="206">
        <f t="shared" si="8"/>
        <v>0</v>
      </c>
      <c r="P14" s="206">
        <f t="shared" si="9"/>
        <v>1.3199999999999998</v>
      </c>
      <c r="R14" s="191">
        <f t="shared" si="10"/>
        <v>11</v>
      </c>
      <c r="S14" s="191">
        <f>Planilha1!D17</f>
        <v>0</v>
      </c>
      <c r="T14" s="191">
        <f>Planilha1!E17</f>
        <v>0</v>
      </c>
      <c r="U14" s="191">
        <f>Planilha1!F17</f>
        <v>11</v>
      </c>
      <c r="V14" s="191">
        <f>Planilha1!G17</f>
        <v>0</v>
      </c>
      <c r="W14" s="191">
        <f>Planilha1!H17</f>
        <v>0</v>
      </c>
      <c r="X14" s="191">
        <f>Planilha1!I17</f>
        <v>0</v>
      </c>
      <c r="Y14" s="191">
        <v>0</v>
      </c>
    </row>
    <row r="15" spans="1:25" x14ac:dyDescent="0.3">
      <c r="G15" s="207" t="s">
        <v>271</v>
      </c>
      <c r="H15" s="208">
        <v>0.11999999999999998</v>
      </c>
      <c r="I15" s="206">
        <f t="shared" si="2"/>
        <v>0</v>
      </c>
      <c r="J15" s="206">
        <f t="shared" si="3"/>
        <v>0</v>
      </c>
      <c r="K15" s="206">
        <f t="shared" si="4"/>
        <v>0</v>
      </c>
      <c r="L15" s="206">
        <f t="shared" si="5"/>
        <v>0</v>
      </c>
      <c r="M15" s="206">
        <f t="shared" si="6"/>
        <v>0</v>
      </c>
      <c r="N15" s="206">
        <f t="shared" si="7"/>
        <v>0</v>
      </c>
      <c r="O15" s="206">
        <f t="shared" si="8"/>
        <v>0</v>
      </c>
      <c r="P15" s="206">
        <f t="shared" si="9"/>
        <v>0</v>
      </c>
      <c r="R15" s="191" t="s">
        <v>339</v>
      </c>
      <c r="S15" s="191">
        <v>0</v>
      </c>
      <c r="T15" s="191">
        <v>0</v>
      </c>
      <c r="U15" s="191">
        <v>0</v>
      </c>
      <c r="V15" s="191">
        <v>0</v>
      </c>
      <c r="W15" s="191">
        <v>0</v>
      </c>
      <c r="X15" s="191">
        <v>0</v>
      </c>
      <c r="Y15" s="191">
        <v>0</v>
      </c>
    </row>
    <row r="16" spans="1:25" x14ac:dyDescent="0.3">
      <c r="G16" s="209"/>
      <c r="I16" s="237">
        <f>SUM(I3:I15)</f>
        <v>0.89999999999999991</v>
      </c>
      <c r="J16" s="237">
        <f t="shared" ref="J16:P16" si="11">SUM(J3:J15)</f>
        <v>0.06</v>
      </c>
      <c r="K16" s="237">
        <f>SUM(K3:K15)</f>
        <v>1.3199999999999998</v>
      </c>
      <c r="L16" s="237">
        <f t="shared" si="11"/>
        <v>1.3199999999999998</v>
      </c>
      <c r="M16" s="237">
        <f t="shared" si="11"/>
        <v>0</v>
      </c>
      <c r="N16" s="237">
        <f t="shared" si="11"/>
        <v>0.3</v>
      </c>
      <c r="O16" s="237">
        <f t="shared" si="11"/>
        <v>0</v>
      </c>
      <c r="P16" s="238">
        <f t="shared" si="11"/>
        <v>3.9</v>
      </c>
      <c r="R16" s="12" t="s">
        <v>6</v>
      </c>
      <c r="S16" s="236">
        <f t="shared" ref="S16:Y16" si="12">SUM(S3:S15)</f>
        <v>10</v>
      </c>
      <c r="T16" s="236">
        <f t="shared" si="12"/>
        <v>1</v>
      </c>
      <c r="U16" s="236">
        <f t="shared" si="12"/>
        <v>11</v>
      </c>
      <c r="V16" s="236">
        <f t="shared" si="12"/>
        <v>22</v>
      </c>
      <c r="W16" s="236">
        <f t="shared" si="12"/>
        <v>0</v>
      </c>
      <c r="X16" s="236">
        <f t="shared" si="12"/>
        <v>5</v>
      </c>
      <c r="Y16" s="236">
        <f t="shared" si="12"/>
        <v>0</v>
      </c>
    </row>
    <row r="20" spans="9:9" x14ac:dyDescent="0.3">
      <c r="I20" s="4"/>
    </row>
  </sheetData>
  <mergeCells count="9">
    <mergeCell ref="A6:D6"/>
    <mergeCell ref="A7:D7"/>
    <mergeCell ref="A8:D8"/>
    <mergeCell ref="A1:D1"/>
    <mergeCell ref="E1:E2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1DFE-7947-4596-83BF-1811E59FF6AF}">
  <sheetPr>
    <tabColor theme="1" tint="0.14999847407452621"/>
  </sheetPr>
  <dimension ref="C4:K28"/>
  <sheetViews>
    <sheetView zoomScale="70" zoomScaleNormal="70" workbookViewId="0">
      <selection activeCell="F7" sqref="F7"/>
    </sheetView>
  </sheetViews>
  <sheetFormatPr defaultRowHeight="14.4" x14ac:dyDescent="0.3"/>
  <cols>
    <col min="3" max="3" width="14.6640625" customWidth="1"/>
    <col min="4" max="5" width="18.33203125" customWidth="1"/>
    <col min="6" max="7" width="16.88671875" customWidth="1"/>
    <col min="8" max="9" width="14.44140625" customWidth="1"/>
    <col min="10" max="10" width="20.6640625" customWidth="1"/>
    <col min="11" max="11" width="11.44140625" customWidth="1"/>
  </cols>
  <sheetData>
    <row r="4" spans="3:11" x14ac:dyDescent="0.3">
      <c r="C4" s="439"/>
      <c r="D4" s="571" t="s">
        <v>9</v>
      </c>
      <c r="E4" s="571"/>
      <c r="F4" s="571"/>
      <c r="G4" s="571"/>
      <c r="H4" s="571"/>
      <c r="I4" s="9"/>
      <c r="J4" s="572" t="s">
        <v>16</v>
      </c>
      <c r="K4" s="572"/>
    </row>
    <row r="5" spans="3:11" x14ac:dyDescent="0.3">
      <c r="C5" s="187" t="s">
        <v>234</v>
      </c>
      <c r="D5" s="188" t="s">
        <v>2</v>
      </c>
      <c r="E5" s="188" t="s">
        <v>230</v>
      </c>
      <c r="F5" s="188" t="s">
        <v>3</v>
      </c>
      <c r="G5" s="188" t="s">
        <v>4</v>
      </c>
      <c r="H5" s="188" t="s">
        <v>231</v>
      </c>
      <c r="I5" s="188" t="s">
        <v>5</v>
      </c>
      <c r="J5" s="188" t="s">
        <v>247</v>
      </c>
      <c r="K5" s="188" t="s">
        <v>401</v>
      </c>
    </row>
    <row r="6" spans="3:11" x14ac:dyDescent="0.3">
      <c r="C6" s="191">
        <v>0</v>
      </c>
      <c r="D6" s="191"/>
      <c r="E6" s="191"/>
      <c r="F6" s="191"/>
      <c r="G6" s="191"/>
      <c r="H6" s="191"/>
      <c r="I6" s="191"/>
      <c r="J6" s="205">
        <v>0.06</v>
      </c>
      <c r="K6" s="206">
        <f>J6*SUM(D6:I6)</f>
        <v>0</v>
      </c>
    </row>
    <row r="7" spans="3:11" x14ac:dyDescent="0.3">
      <c r="C7" s="191">
        <v>1</v>
      </c>
      <c r="D7" s="191"/>
      <c r="E7" s="191">
        <v>1</v>
      </c>
      <c r="F7" s="191"/>
      <c r="G7" s="191">
        <v>22</v>
      </c>
      <c r="H7" s="191"/>
      <c r="I7" s="191">
        <v>5</v>
      </c>
      <c r="J7" s="208">
        <v>0.06</v>
      </c>
      <c r="K7" s="206">
        <f>J7*SUM(D7:I7)</f>
        <v>1.68</v>
      </c>
    </row>
    <row r="8" spans="3:11" x14ac:dyDescent="0.3">
      <c r="C8" s="191">
        <v>2</v>
      </c>
      <c r="D8" s="191"/>
      <c r="E8" s="191"/>
      <c r="F8" s="191"/>
      <c r="G8" s="191"/>
      <c r="H8" s="191"/>
      <c r="I8" s="191"/>
      <c r="J8" s="208">
        <v>7.0000000000000007E-2</v>
      </c>
      <c r="K8" s="206">
        <f t="shared" ref="K8:K15" si="0">J8*SUM(D8:I8)</f>
        <v>0</v>
      </c>
    </row>
    <row r="9" spans="3:11" x14ac:dyDescent="0.3">
      <c r="C9" s="191">
        <v>3</v>
      </c>
      <c r="D9" s="191"/>
      <c r="E9" s="191"/>
      <c r="F9" s="191"/>
      <c r="G9" s="191"/>
      <c r="H9" s="191"/>
      <c r="I9" s="191"/>
      <c r="J9" s="205">
        <v>7.0000000000000007E-2</v>
      </c>
      <c r="K9" s="206">
        <f t="shared" si="0"/>
        <v>0</v>
      </c>
    </row>
    <row r="10" spans="3:11" x14ac:dyDescent="0.3">
      <c r="C10" s="191">
        <v>4</v>
      </c>
      <c r="D10" s="191"/>
      <c r="E10" s="191"/>
      <c r="F10" s="191"/>
      <c r="G10" s="191"/>
      <c r="H10" s="191"/>
      <c r="I10" s="191"/>
      <c r="J10" s="208">
        <v>0.08</v>
      </c>
      <c r="K10" s="206">
        <f t="shared" si="0"/>
        <v>0</v>
      </c>
    </row>
    <row r="11" spans="3:11" x14ac:dyDescent="0.3">
      <c r="C11" s="191">
        <v>5</v>
      </c>
      <c r="D11" s="191"/>
      <c r="E11" s="191"/>
      <c r="F11" s="191"/>
      <c r="G11" s="191"/>
      <c r="H11" s="191"/>
      <c r="I11" s="191"/>
      <c r="J11" s="208">
        <v>0.08</v>
      </c>
      <c r="K11" s="206">
        <f t="shared" si="0"/>
        <v>0</v>
      </c>
    </row>
    <row r="12" spans="3:11" x14ac:dyDescent="0.3">
      <c r="C12" s="191">
        <v>6</v>
      </c>
      <c r="D12" s="191"/>
      <c r="E12" s="191"/>
      <c r="F12" s="191"/>
      <c r="G12" s="191"/>
      <c r="H12" s="191"/>
      <c r="I12" s="191"/>
      <c r="J12" s="208">
        <v>0.09</v>
      </c>
      <c r="K12" s="206">
        <f t="shared" si="0"/>
        <v>0</v>
      </c>
    </row>
    <row r="13" spans="3:11" x14ac:dyDescent="0.3">
      <c r="C13" s="191">
        <v>7</v>
      </c>
      <c r="D13" s="191"/>
      <c r="E13" s="191"/>
      <c r="F13" s="191"/>
      <c r="G13" s="191"/>
      <c r="H13" s="191"/>
      <c r="I13" s="191"/>
      <c r="J13" s="208">
        <v>0.09</v>
      </c>
      <c r="K13" s="206">
        <f>J13*SUM(D13:I13)</f>
        <v>0</v>
      </c>
    </row>
    <row r="14" spans="3:11" x14ac:dyDescent="0.3">
      <c r="C14" s="191">
        <v>8</v>
      </c>
      <c r="D14" s="191">
        <v>10</v>
      </c>
      <c r="E14" s="191"/>
      <c r="F14" s="191"/>
      <c r="G14" s="191"/>
      <c r="H14" s="191"/>
      <c r="I14" s="191"/>
      <c r="J14" s="208">
        <v>0.1</v>
      </c>
      <c r="K14" s="206">
        <f t="shared" si="0"/>
        <v>1</v>
      </c>
    </row>
    <row r="15" spans="3:11" x14ac:dyDescent="0.3">
      <c r="C15" s="191">
        <v>9</v>
      </c>
      <c r="D15" s="191"/>
      <c r="E15" s="191"/>
      <c r="F15" s="191"/>
      <c r="G15" s="191"/>
      <c r="H15" s="191"/>
      <c r="I15" s="191"/>
      <c r="J15" s="208">
        <v>0.1</v>
      </c>
      <c r="K15" s="206">
        <f t="shared" si="0"/>
        <v>0</v>
      </c>
    </row>
    <row r="16" spans="3:11" x14ac:dyDescent="0.3">
      <c r="C16" s="191">
        <v>10</v>
      </c>
      <c r="D16" s="191"/>
      <c r="E16" s="191"/>
      <c r="F16" s="191"/>
      <c r="G16" s="191"/>
      <c r="H16" s="191"/>
      <c r="I16" s="191"/>
      <c r="J16" s="205">
        <v>0.12</v>
      </c>
      <c r="K16" s="206">
        <f>J16*SUM(D16:I16)</f>
        <v>0</v>
      </c>
    </row>
    <row r="17" spans="3:11" x14ac:dyDescent="0.3">
      <c r="C17" s="191" t="s">
        <v>400</v>
      </c>
      <c r="D17" s="191"/>
      <c r="E17" s="191"/>
      <c r="F17" s="191">
        <v>11</v>
      </c>
      <c r="G17" s="191"/>
      <c r="H17" s="191"/>
      <c r="I17" s="191"/>
      <c r="J17" s="205">
        <v>0.12</v>
      </c>
      <c r="K17" s="206">
        <f>J17*SUM(D17:I17)</f>
        <v>1.3199999999999998</v>
      </c>
    </row>
    <row r="18" spans="3:11" x14ac:dyDescent="0.3">
      <c r="C18" s="12" t="s">
        <v>6</v>
      </c>
      <c r="D18" s="236">
        <f t="shared" ref="D18:I18" si="1">SUM(D6:D17)</f>
        <v>10</v>
      </c>
      <c r="E18" s="236">
        <f t="shared" si="1"/>
        <v>1</v>
      </c>
      <c r="F18" s="236">
        <f t="shared" si="1"/>
        <v>11</v>
      </c>
      <c r="G18" s="236">
        <f t="shared" si="1"/>
        <v>22</v>
      </c>
      <c r="H18" s="236">
        <f t="shared" si="1"/>
        <v>0</v>
      </c>
      <c r="I18" s="236">
        <f t="shared" si="1"/>
        <v>5</v>
      </c>
      <c r="J18" s="236"/>
      <c r="K18" s="137">
        <f>SUM(K6:K16)</f>
        <v>2.6799999999999997</v>
      </c>
    </row>
    <row r="24" spans="3:11" x14ac:dyDescent="0.3">
      <c r="D24" s="4">
        <f>Tabelas_Prc_Insumos!D30</f>
        <v>465000</v>
      </c>
      <c r="E24" s="4"/>
      <c r="F24" s="4">
        <f>Tabelas_Prc_Insumos!F30</f>
        <v>692298</v>
      </c>
      <c r="G24" s="4">
        <f>Tabelas_Prc_Insumos!G30</f>
        <v>737298</v>
      </c>
      <c r="H24" s="4">
        <f>Tabelas_Prc_Insumos!H30</f>
        <v>736398</v>
      </c>
      <c r="I24" s="4">
        <f>Tabelas_Prc_Insumos!I30</f>
        <v>781398</v>
      </c>
    </row>
    <row r="26" spans="3:11" x14ac:dyDescent="0.3">
      <c r="D26" s="221">
        <f>D24*D18</f>
        <v>4650000</v>
      </c>
      <c r="E26" s="221"/>
      <c r="F26" s="221">
        <f>F24*F18</f>
        <v>7615278</v>
      </c>
      <c r="G26" s="221">
        <f>G24*G18</f>
        <v>16220556</v>
      </c>
      <c r="H26" s="221">
        <f>H24*H18</f>
        <v>0</v>
      </c>
      <c r="I26" s="221">
        <f>I24*I18</f>
        <v>3906990</v>
      </c>
      <c r="J26" s="221">
        <f>SUM(D26:I26)</f>
        <v>32392824</v>
      </c>
    </row>
    <row r="28" spans="3:11" x14ac:dyDescent="0.3">
      <c r="J28" s="221">
        <f>J26/SUM(D18:I18)</f>
        <v>661078.04081632651</v>
      </c>
    </row>
  </sheetData>
  <mergeCells count="2">
    <mergeCell ref="D4:H4"/>
    <mergeCell ref="J4:K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315C-8913-40CF-8FC9-166C6F9593CE}">
  <sheetPr codeName="Planilha10">
    <tabColor theme="3" tint="0.749992370372631"/>
  </sheetPr>
  <dimension ref="A1:AE85"/>
  <sheetViews>
    <sheetView topLeftCell="T10" workbookViewId="0">
      <selection activeCell="AA29" sqref="AA29"/>
    </sheetView>
  </sheetViews>
  <sheetFormatPr defaultRowHeight="14.4" x14ac:dyDescent="0.3"/>
  <cols>
    <col min="1" max="2" width="5.5546875" bestFit="1" customWidth="1"/>
    <col min="3" max="3" width="5.5546875" customWidth="1"/>
    <col min="4" max="4" width="5.33203125" bestFit="1" customWidth="1"/>
    <col min="5" max="5" width="32.5546875" bestFit="1" customWidth="1"/>
    <col min="6" max="12" width="20.6640625" customWidth="1"/>
    <col min="13" max="13" width="12" bestFit="1" customWidth="1"/>
    <col min="15" max="15" width="16.88671875" customWidth="1"/>
    <col min="16" max="22" width="20.6640625" customWidth="1"/>
    <col min="23" max="23" width="11.109375" customWidth="1"/>
    <col min="24" max="24" width="17.6640625" customWidth="1"/>
    <col min="25" max="25" width="20.33203125" bestFit="1" customWidth="1"/>
    <col min="26" max="26" width="19.33203125" bestFit="1" customWidth="1"/>
    <col min="27" max="27" width="19.109375" bestFit="1" customWidth="1"/>
    <col min="28" max="28" width="18.88671875" bestFit="1" customWidth="1"/>
    <col min="29" max="29" width="14.109375" bestFit="1" customWidth="1"/>
    <col min="30" max="30" width="17" bestFit="1" customWidth="1"/>
    <col min="31" max="31" width="18.5546875" bestFit="1" customWidth="1"/>
  </cols>
  <sheetData>
    <row r="1" spans="1:31" x14ac:dyDescent="0.3">
      <c r="E1" t="s">
        <v>272</v>
      </c>
    </row>
    <row r="4" spans="1:31" x14ac:dyDescent="0.3">
      <c r="E4" s="210" t="s">
        <v>153</v>
      </c>
      <c r="F4" s="211"/>
      <c r="G4" s="211"/>
      <c r="H4" s="211"/>
      <c r="I4" s="211"/>
      <c r="J4" s="211"/>
      <c r="K4" s="211"/>
      <c r="L4" s="211"/>
      <c r="O4" s="210" t="s">
        <v>154</v>
      </c>
      <c r="P4" s="211"/>
      <c r="Q4" s="211"/>
      <c r="R4" s="211"/>
      <c r="S4" s="211"/>
      <c r="T4" s="211"/>
      <c r="U4" s="211"/>
      <c r="V4" s="211"/>
    </row>
    <row r="5" spans="1:31" x14ac:dyDescent="0.3">
      <c r="F5" s="65" t="str">
        <f>'Tarifa_Técnica - PLANUM'!E4</f>
        <v>Microônibus - Sem Ar</v>
      </c>
      <c r="G5" s="65" t="str">
        <f>'Tarifa_Técnica - PLANUM'!F4</f>
        <v>Microônibus - Com Ar</v>
      </c>
      <c r="H5" s="65" t="str">
        <f>'Tarifa_Técnica - PLANUM'!G4</f>
        <v>Midiônibus - Sem Ar</v>
      </c>
      <c r="I5" s="65" t="str">
        <f>'Tarifa_Técnica - PLANUM'!H4</f>
        <v>Midiônibus - Com Ar</v>
      </c>
      <c r="J5" s="65" t="str">
        <f>'Tarifa_Técnica - PLANUM'!I4</f>
        <v>Básico - Sem Ar</v>
      </c>
      <c r="K5" s="65" t="str">
        <f>'Tarifa_Técnica - PLANUM'!J4</f>
        <v>Básico - Com Ar</v>
      </c>
      <c r="L5" s="65" t="str">
        <f>'Tarifa_Técnica - PLANUM'!K4</f>
        <v>Ônibus Padron</v>
      </c>
      <c r="P5" s="65" t="str">
        <f>F5</f>
        <v>Microônibus - Sem Ar</v>
      </c>
      <c r="Q5" s="65" t="str">
        <f t="shared" ref="Q5:V5" si="0">G5</f>
        <v>Microônibus - Com Ar</v>
      </c>
      <c r="R5" s="65" t="str">
        <f t="shared" si="0"/>
        <v>Midiônibus - Sem Ar</v>
      </c>
      <c r="S5" s="65" t="str">
        <f t="shared" si="0"/>
        <v>Midiônibus - Com Ar</v>
      </c>
      <c r="T5" s="65" t="str">
        <f t="shared" si="0"/>
        <v>Básico - Sem Ar</v>
      </c>
      <c r="U5" s="65" t="str">
        <f t="shared" si="0"/>
        <v>Básico - Com Ar</v>
      </c>
      <c r="V5" s="65" t="str">
        <f t="shared" si="0"/>
        <v>Ônibus Padron</v>
      </c>
    </row>
    <row r="6" spans="1:31" x14ac:dyDescent="0.3">
      <c r="E6" s="45" t="s">
        <v>273</v>
      </c>
      <c r="F6" s="242">
        <f>Tabelas_Coeficientes!B28</f>
        <v>0.1</v>
      </c>
      <c r="G6" s="242">
        <f>Tabelas_Coeficientes!C28</f>
        <v>0.1</v>
      </c>
      <c r="H6" s="242">
        <f>Tabelas_Coeficientes!D28</f>
        <v>0.1</v>
      </c>
      <c r="I6" s="242">
        <f>Tabelas_Coeficientes!E28</f>
        <v>0.1</v>
      </c>
      <c r="J6" s="242">
        <f>Tabelas_Coeficientes!F28</f>
        <v>0.1</v>
      </c>
      <c r="K6" s="242">
        <f>Tabelas_Coeficientes!G28</f>
        <v>0.1</v>
      </c>
      <c r="L6" s="242">
        <f>Tabelas_Coeficientes!H28</f>
        <v>0.1</v>
      </c>
      <c r="O6" t="s">
        <v>274</v>
      </c>
      <c r="P6" s="239">
        <f>1-F6</f>
        <v>0.9</v>
      </c>
      <c r="Q6" s="239">
        <f t="shared" ref="Q6:V6" si="1">1-G6</f>
        <v>0.9</v>
      </c>
      <c r="R6" s="239">
        <f t="shared" si="1"/>
        <v>0.9</v>
      </c>
      <c r="S6" s="239">
        <f t="shared" si="1"/>
        <v>0.9</v>
      </c>
      <c r="T6" s="239">
        <f t="shared" si="1"/>
        <v>0.9</v>
      </c>
      <c r="U6" s="239">
        <f t="shared" si="1"/>
        <v>0.9</v>
      </c>
      <c r="V6" s="239">
        <f t="shared" si="1"/>
        <v>0.9</v>
      </c>
    </row>
    <row r="7" spans="1:31" x14ac:dyDescent="0.3">
      <c r="E7" s="45" t="s">
        <v>275</v>
      </c>
      <c r="F7" s="249">
        <f>Tabelas_Coeficientes!B27</f>
        <v>10</v>
      </c>
      <c r="G7" s="249">
        <f>Tabelas_Coeficientes!C27</f>
        <v>10</v>
      </c>
      <c r="H7" s="249">
        <f>Tabelas_Coeficientes!D27</f>
        <v>10</v>
      </c>
      <c r="I7" s="249">
        <f>Tabelas_Coeficientes!E27</f>
        <v>10</v>
      </c>
      <c r="J7" s="249">
        <f>Tabelas_Coeficientes!F27</f>
        <v>10</v>
      </c>
      <c r="K7" s="249">
        <f>Tabelas_Coeficientes!G27</f>
        <v>10</v>
      </c>
      <c r="L7" s="249">
        <f>Tabelas_Coeficientes!H27</f>
        <v>12</v>
      </c>
      <c r="O7" t="s">
        <v>276</v>
      </c>
      <c r="P7" s="240">
        <f>'Tarifa_Técnica - PLANUM'!D97</f>
        <v>0.104521</v>
      </c>
      <c r="Q7" s="240">
        <f t="shared" ref="Q7:V7" si="2">P7</f>
        <v>0.104521</v>
      </c>
      <c r="R7" s="240">
        <f t="shared" si="2"/>
        <v>0.104521</v>
      </c>
      <c r="S7" s="240">
        <f t="shared" si="2"/>
        <v>0.104521</v>
      </c>
      <c r="T7" s="240">
        <f t="shared" si="2"/>
        <v>0.104521</v>
      </c>
      <c r="U7" s="240">
        <f t="shared" si="2"/>
        <v>0.104521</v>
      </c>
      <c r="V7" s="240">
        <f t="shared" si="2"/>
        <v>0.104521</v>
      </c>
    </row>
    <row r="8" spans="1:31" x14ac:dyDescent="0.3">
      <c r="E8" s="45"/>
    </row>
    <row r="9" spans="1:31" x14ac:dyDescent="0.3">
      <c r="E9" s="45" t="s">
        <v>277</v>
      </c>
      <c r="F9" s="241">
        <f>'Tarifa_Técnica - PLANUM'!E56</f>
        <v>457652.82</v>
      </c>
      <c r="G9" s="241">
        <f>'Tarifa_Técnica - PLANUM'!F56</f>
        <v>515652.82</v>
      </c>
      <c r="H9" s="241">
        <f>'Tarifa_Técnica - PLANUM'!G56</f>
        <v>681908.82</v>
      </c>
      <c r="I9" s="241">
        <f>'Tarifa_Técnica - PLANUM'!H56</f>
        <v>726908.82</v>
      </c>
      <c r="J9" s="241">
        <f>'Tarifa_Técnica - PLANUM'!I56</f>
        <v>726008.82</v>
      </c>
      <c r="K9" s="241">
        <f>'Tarifa_Técnica - PLANUM'!J56</f>
        <v>771008.82</v>
      </c>
      <c r="L9" s="241">
        <f>'Tarifa_Técnica - PLANUM'!K56</f>
        <v>770821.68</v>
      </c>
      <c r="O9" s="45" t="s">
        <v>278</v>
      </c>
      <c r="P9" s="241">
        <f>Tabelas_Prc_Insumos!D30</f>
        <v>465000</v>
      </c>
      <c r="Q9" s="241">
        <f>Tabelas_Prc_Insumos!E30</f>
        <v>523000</v>
      </c>
      <c r="R9" s="241">
        <f>Tabelas_Prc_Insumos!F30</f>
        <v>692298</v>
      </c>
      <c r="S9" s="241">
        <f>Tabelas_Prc_Insumos!G30</f>
        <v>737298</v>
      </c>
      <c r="T9" s="241">
        <f>Tabelas_Prc_Insumos!H30</f>
        <v>736398</v>
      </c>
      <c r="U9" s="241">
        <f>Tabelas_Prc_Insumos!I30</f>
        <v>781398</v>
      </c>
      <c r="V9" s="241">
        <f>Tabelas_Prc_Insumos!J30</f>
        <v>781398</v>
      </c>
    </row>
    <row r="10" spans="1:31" x14ac:dyDescent="0.3">
      <c r="F10" s="19"/>
      <c r="G10" s="19"/>
      <c r="H10" s="19"/>
      <c r="I10" s="19"/>
      <c r="J10" s="19"/>
      <c r="K10" s="19"/>
      <c r="L10" s="19"/>
      <c r="O10" s="45"/>
    </row>
    <row r="11" spans="1:31" x14ac:dyDescent="0.3">
      <c r="E11" s="34" t="s">
        <v>279</v>
      </c>
      <c r="F11" s="19"/>
      <c r="G11" s="19"/>
      <c r="H11" s="19"/>
      <c r="I11" s="19"/>
      <c r="J11" s="19"/>
      <c r="K11" s="19"/>
      <c r="L11" s="19"/>
      <c r="O11" s="34" t="s">
        <v>280</v>
      </c>
    </row>
    <row r="12" spans="1:31" x14ac:dyDescent="0.3">
      <c r="E12" s="19" t="s">
        <v>281</v>
      </c>
      <c r="H12" s="19"/>
      <c r="I12" s="19"/>
      <c r="J12" s="19"/>
      <c r="K12" s="19"/>
      <c r="L12" s="19"/>
      <c r="X12" s="34" t="s">
        <v>282</v>
      </c>
    </row>
    <row r="13" spans="1:31" x14ac:dyDescent="0.3">
      <c r="A13" s="212" t="s">
        <v>283</v>
      </c>
      <c r="B13" s="212" t="s">
        <v>284</v>
      </c>
      <c r="C13" s="212" t="s">
        <v>285</v>
      </c>
      <c r="D13" s="19" t="s">
        <v>286</v>
      </c>
      <c r="E13" s="245" t="s">
        <v>287</v>
      </c>
      <c r="F13" s="213" t="str">
        <f>F5</f>
        <v>Microônibus - Sem Ar</v>
      </c>
      <c r="G13" s="213" t="str">
        <f t="shared" ref="G13:L13" si="3">G5</f>
        <v>Microônibus - Com Ar</v>
      </c>
      <c r="H13" s="213" t="str">
        <f t="shared" si="3"/>
        <v>Midiônibus - Sem Ar</v>
      </c>
      <c r="I13" s="213" t="str">
        <f t="shared" si="3"/>
        <v>Midiônibus - Com Ar</v>
      </c>
      <c r="J13" s="213" t="str">
        <f t="shared" si="3"/>
        <v>Básico - Sem Ar</v>
      </c>
      <c r="K13" s="213" t="str">
        <f t="shared" si="3"/>
        <v>Básico - Com Ar</v>
      </c>
      <c r="L13" s="213" t="str">
        <f t="shared" si="3"/>
        <v>Ônibus Padron</v>
      </c>
      <c r="N13" s="19" t="s">
        <v>286</v>
      </c>
      <c r="O13" s="245" t="s">
        <v>287</v>
      </c>
      <c r="P13" s="213" t="str">
        <f>F13</f>
        <v>Microônibus - Sem Ar</v>
      </c>
      <c r="Q13" s="213" t="str">
        <f t="shared" ref="Q13:V13" si="4">G13</f>
        <v>Microônibus - Com Ar</v>
      </c>
      <c r="R13" s="213" t="str">
        <f t="shared" si="4"/>
        <v>Midiônibus - Sem Ar</v>
      </c>
      <c r="S13" s="213" t="str">
        <f t="shared" si="4"/>
        <v>Midiônibus - Com Ar</v>
      </c>
      <c r="T13" s="213" t="str">
        <f t="shared" si="4"/>
        <v>Básico - Sem Ar</v>
      </c>
      <c r="U13" s="213" t="str">
        <f t="shared" si="4"/>
        <v>Básico - Com Ar</v>
      </c>
      <c r="V13" s="213" t="str">
        <f t="shared" si="4"/>
        <v>Ônibus Padron</v>
      </c>
      <c r="X13" s="245" t="s">
        <v>287</v>
      </c>
      <c r="Y13" s="243" t="str">
        <f>P13</f>
        <v>Microônibus - Sem Ar</v>
      </c>
      <c r="Z13" s="243" t="str">
        <f t="shared" ref="Z13:AE13" si="5">Q13</f>
        <v>Microônibus - Com Ar</v>
      </c>
      <c r="AA13" s="243" t="str">
        <f t="shared" si="5"/>
        <v>Midiônibus - Sem Ar</v>
      </c>
      <c r="AB13" s="243" t="str">
        <f t="shared" si="5"/>
        <v>Midiônibus - Com Ar</v>
      </c>
      <c r="AC13" s="243" t="str">
        <f t="shared" si="5"/>
        <v>Básico - Sem Ar</v>
      </c>
      <c r="AD13" s="243" t="str">
        <f t="shared" si="5"/>
        <v>Básico - Com Ar</v>
      </c>
      <c r="AE13" s="243" t="str">
        <f t="shared" si="5"/>
        <v>Ônibus Padron</v>
      </c>
    </row>
    <row r="14" spans="1:31" x14ac:dyDescent="0.3">
      <c r="A14" s="212">
        <f>IF(F7&gt;=12,12,F7)</f>
        <v>10</v>
      </c>
      <c r="B14" s="212">
        <f>IF(H7&gt;=12,12,H7)</f>
        <v>10</v>
      </c>
      <c r="C14" s="212">
        <f>IF(J7&gt;=12,12,J7)</f>
        <v>10</v>
      </c>
      <c r="D14" s="214">
        <v>1</v>
      </c>
      <c r="E14" s="246" t="s">
        <v>288</v>
      </c>
      <c r="F14" s="215">
        <f>IF((1-F$6)*(F$7-$D14+1)/A$27&lt;=0,0,(1-F$6)*(F$7-$D14+1)/A$27)</f>
        <v>0.16363636363636364</v>
      </c>
      <c r="G14" s="215">
        <f>IF((1-G$6)*(G$7-$D14+1)/A$27&lt;=0,0,(1-G$6)*(G$7-$D14+1)/A$27)</f>
        <v>0.16363636363636364</v>
      </c>
      <c r="H14" s="215">
        <f>IF((1-H$6)*(H$7-$D14+1)/B$27&lt;=0,0,(1-H$6)*(H$7-$D14+1)/B$27)</f>
        <v>0.16363636363636364</v>
      </c>
      <c r="I14" s="215">
        <f>IF((1-I$6)*(I$7-$D14+1)/B$27&lt;=0,0,(1-I$6)*(I$7-$D14+1)/B$27)</f>
        <v>0.16363636363636364</v>
      </c>
      <c r="J14" s="215">
        <f>IF((1-J$6)*(J$7-$D14+1)/$C$27&lt;=0,0,(1-J$6)*(J$7-$D14+1)/$C$27)</f>
        <v>0.16363636363636364</v>
      </c>
      <c r="K14" s="215">
        <f>IF((1-K$6)*(K$7-$D14+1)/$C$27&lt;=0,0,(1-K$6)*(K$7-$D14+1)/$C$27)</f>
        <v>0.16363636363636364</v>
      </c>
      <c r="L14" s="215">
        <f>IF((1-L$6)*(L$7-$D14+1)/$C$27&lt;=0,0,(1-L$6)*(L$7-$D14+1)/$C$27)</f>
        <v>0.19636363636363638</v>
      </c>
      <c r="N14" s="214">
        <v>1</v>
      </c>
      <c r="O14" s="246" t="s">
        <v>288</v>
      </c>
      <c r="P14" s="216">
        <v>1</v>
      </c>
      <c r="Q14" s="216">
        <v>1</v>
      </c>
      <c r="R14" s="216">
        <f>Q14</f>
        <v>1</v>
      </c>
      <c r="S14" s="216">
        <f>R14</f>
        <v>1</v>
      </c>
      <c r="T14" s="216">
        <f>S14</f>
        <v>1</v>
      </c>
      <c r="U14" s="216">
        <f>T14</f>
        <v>1</v>
      </c>
      <c r="V14" s="216">
        <f>U14</f>
        <v>1</v>
      </c>
      <c r="X14" s="246" t="s">
        <v>288</v>
      </c>
      <c r="Y14" s="244">
        <f>'Peças e Acessórios'!S3</f>
        <v>0</v>
      </c>
      <c r="Z14" s="244">
        <f>'Peças e Acessórios'!T3</f>
        <v>0</v>
      </c>
      <c r="AA14" s="244">
        <f>'Peças e Acessórios'!U3</f>
        <v>0</v>
      </c>
      <c r="AB14" s="244">
        <f>Planilha1!G6</f>
        <v>0</v>
      </c>
      <c r="AC14" s="244">
        <f>'Peças e Acessórios'!W3</f>
        <v>0</v>
      </c>
      <c r="AD14" s="244">
        <f>'Peças e Acessórios'!X3</f>
        <v>0</v>
      </c>
      <c r="AE14" s="244">
        <f>'Peças e Acessórios'!Y3</f>
        <v>0</v>
      </c>
    </row>
    <row r="15" spans="1:31" x14ac:dyDescent="0.3">
      <c r="A15" s="212">
        <f>IF(A14-1&lt;=0,0,A14-1)</f>
        <v>9</v>
      </c>
      <c r="B15" s="212">
        <f t="shared" ref="B15:C26" si="6">IF(B14-1&lt;=0,0,B14-1)</f>
        <v>9</v>
      </c>
      <c r="C15" s="212">
        <f t="shared" si="6"/>
        <v>9</v>
      </c>
      <c r="D15" s="214">
        <f>D14+1</f>
        <v>2</v>
      </c>
      <c r="E15" s="246" t="s">
        <v>289</v>
      </c>
      <c r="F15" s="215">
        <f t="shared" ref="F15:F26" si="7">IF((1-F$6)*(F$7-$D15+1)/A$27&lt;=0,0,(1-F$6)*(F$7-$D15+1)/A$27)</f>
        <v>0.14727272727272728</v>
      </c>
      <c r="G15" s="215">
        <f t="shared" ref="G15:G26" si="8">IF((1-G$6)*(G$7-$D15+1)/A$27&lt;=0,0,(1-G$6)*(G$7-$D15+1)/A$27)</f>
        <v>0.14727272727272728</v>
      </c>
      <c r="H15" s="215">
        <f t="shared" ref="H15:H26" si="9">IF((1-H$6)*(H$7-$D15+1)/B$27&lt;=0,0,(1-H$6)*(H$7-$D15+1)/B$27)</f>
        <v>0.14727272727272728</v>
      </c>
      <c r="I15" s="215">
        <f t="shared" ref="I15:I26" si="10">IF((1-I$6)*(I$7-$D15+1)/B$27&lt;=0,0,(1-I$6)*(I$7-$D15+1)/B$27)</f>
        <v>0.14727272727272728</v>
      </c>
      <c r="J15" s="215">
        <f t="shared" ref="J15:L26" si="11">IF((1-J$6)*(J$7-$D15+1)/$C$27&lt;=0,0,(1-J$6)*(J$7-$D15+1)/$C$27)</f>
        <v>0.14727272727272728</v>
      </c>
      <c r="K15" s="215">
        <f t="shared" si="11"/>
        <v>0.14727272727272728</v>
      </c>
      <c r="L15" s="215">
        <f t="shared" si="11"/>
        <v>0.18</v>
      </c>
      <c r="N15" s="214">
        <f>N14+1</f>
        <v>2</v>
      </c>
      <c r="O15" s="246" t="s">
        <v>289</v>
      </c>
      <c r="P15" s="216">
        <f>P$14-SUM(F$14:F14)</f>
        <v>0.83636363636363642</v>
      </c>
      <c r="Q15" s="216">
        <f>Q$14-SUM(G$14:G14)</f>
        <v>0.83636363636363642</v>
      </c>
      <c r="R15" s="216">
        <f>R$14-SUM(H$14:H14)</f>
        <v>0.83636363636363642</v>
      </c>
      <c r="S15" s="216">
        <f>S$14-SUM(I$14:I14)</f>
        <v>0.83636363636363642</v>
      </c>
      <c r="T15" s="216">
        <f>T$14-SUM(J$14:J14)</f>
        <v>0.83636363636363642</v>
      </c>
      <c r="U15" s="216">
        <f>U$14-SUM(K$14:K14)</f>
        <v>0.83636363636363642</v>
      </c>
      <c r="V15" s="216">
        <f>V$14-SUM(L$14:L14)</f>
        <v>0.80363636363636359</v>
      </c>
      <c r="X15" s="246" t="s">
        <v>289</v>
      </c>
      <c r="Y15" s="244">
        <f>'Peças e Acessórios'!S4</f>
        <v>0</v>
      </c>
      <c r="Z15" s="244">
        <f>'Peças e Acessórios'!T4</f>
        <v>1</v>
      </c>
      <c r="AA15" s="244">
        <f>'Peças e Acessórios'!U4</f>
        <v>0</v>
      </c>
      <c r="AB15" s="244">
        <f>Planilha1!G7</f>
        <v>22</v>
      </c>
      <c r="AC15" s="244">
        <f>'Peças e Acessórios'!W4</f>
        <v>0</v>
      </c>
      <c r="AD15" s="244">
        <f>'Peças e Acessórios'!X4</f>
        <v>5</v>
      </c>
      <c r="AE15" s="244">
        <f>'Peças e Acessórios'!Y4</f>
        <v>0</v>
      </c>
    </row>
    <row r="16" spans="1:31" x14ac:dyDescent="0.3">
      <c r="A16" s="212">
        <f t="shared" ref="A16:A26" si="12">IF(A15-1&lt;=0,0,A15-1)</f>
        <v>8</v>
      </c>
      <c r="B16" s="212">
        <f t="shared" si="6"/>
        <v>8</v>
      </c>
      <c r="C16" s="212">
        <f t="shared" si="6"/>
        <v>8</v>
      </c>
      <c r="D16" s="214">
        <f t="shared" ref="D16:D25" si="13">D15+1</f>
        <v>3</v>
      </c>
      <c r="E16" s="246" t="s">
        <v>290</v>
      </c>
      <c r="F16" s="215">
        <f t="shared" si="7"/>
        <v>0.13090909090909092</v>
      </c>
      <c r="G16" s="215">
        <f t="shared" si="8"/>
        <v>0.13090909090909092</v>
      </c>
      <c r="H16" s="215">
        <f t="shared" si="9"/>
        <v>0.13090909090909092</v>
      </c>
      <c r="I16" s="215">
        <f t="shared" si="10"/>
        <v>0.13090909090909092</v>
      </c>
      <c r="J16" s="215">
        <f t="shared" si="11"/>
        <v>0.13090909090909092</v>
      </c>
      <c r="K16" s="215">
        <f t="shared" si="11"/>
        <v>0.13090909090909092</v>
      </c>
      <c r="L16" s="215">
        <f t="shared" si="11"/>
        <v>0.16363636363636364</v>
      </c>
      <c r="N16" s="214">
        <f t="shared" ref="N16:N25" si="14">N15+1</f>
        <v>3</v>
      </c>
      <c r="O16" s="246" t="s">
        <v>290</v>
      </c>
      <c r="P16" s="216">
        <f>P$14-SUM(F$14:F15)</f>
        <v>0.68909090909090909</v>
      </c>
      <c r="Q16" s="216">
        <f>Q$14-SUM(G$14:G15)</f>
        <v>0.68909090909090909</v>
      </c>
      <c r="R16" s="216">
        <f>R$14-SUM(H$14:H15)</f>
        <v>0.68909090909090909</v>
      </c>
      <c r="S16" s="216">
        <f>S$14-SUM(I$14:I15)</f>
        <v>0.68909090909090909</v>
      </c>
      <c r="T16" s="216">
        <f>T$14-SUM(J$14:J15)</f>
        <v>0.68909090909090909</v>
      </c>
      <c r="U16" s="216">
        <f>U$14-SUM(K$14:K15)</f>
        <v>0.68909090909090909</v>
      </c>
      <c r="V16" s="216">
        <f>V$14-SUM(L$14:L15)</f>
        <v>0.62363636363636366</v>
      </c>
      <c r="X16" s="246" t="s">
        <v>290</v>
      </c>
      <c r="Y16" s="244">
        <f>'Peças e Acessórios'!S5</f>
        <v>0</v>
      </c>
      <c r="Z16" s="244">
        <f>'Peças e Acessórios'!T5</f>
        <v>0</v>
      </c>
      <c r="AA16" s="244">
        <f>'Peças e Acessórios'!U5</f>
        <v>0</v>
      </c>
      <c r="AB16" s="244">
        <f>Planilha1!G8</f>
        <v>0</v>
      </c>
      <c r="AC16" s="244">
        <f>'Peças e Acessórios'!W5</f>
        <v>0</v>
      </c>
      <c r="AD16" s="244">
        <f>'Peças e Acessórios'!X5</f>
        <v>0</v>
      </c>
      <c r="AE16" s="244">
        <f>'Peças e Acessórios'!Y5</f>
        <v>0</v>
      </c>
    </row>
    <row r="17" spans="1:31" x14ac:dyDescent="0.3">
      <c r="A17" s="212">
        <f t="shared" si="12"/>
        <v>7</v>
      </c>
      <c r="B17" s="212">
        <f t="shared" si="6"/>
        <v>7</v>
      </c>
      <c r="C17" s="212">
        <f t="shared" si="6"/>
        <v>7</v>
      </c>
      <c r="D17" s="214">
        <f t="shared" si="13"/>
        <v>4</v>
      </c>
      <c r="E17" s="246" t="s">
        <v>291</v>
      </c>
      <c r="F17" s="215">
        <f t="shared" si="7"/>
        <v>0.11454545454545455</v>
      </c>
      <c r="G17" s="215">
        <f t="shared" si="8"/>
        <v>0.11454545454545455</v>
      </c>
      <c r="H17" s="215">
        <f t="shared" si="9"/>
        <v>0.11454545454545455</v>
      </c>
      <c r="I17" s="215">
        <f t="shared" si="10"/>
        <v>0.11454545454545455</v>
      </c>
      <c r="J17" s="215">
        <f t="shared" si="11"/>
        <v>0.11454545454545455</v>
      </c>
      <c r="K17" s="215">
        <f t="shared" si="11"/>
        <v>0.11454545454545455</v>
      </c>
      <c r="L17" s="215">
        <f t="shared" si="11"/>
        <v>0.14727272727272728</v>
      </c>
      <c r="N17" s="214">
        <f t="shared" si="14"/>
        <v>4</v>
      </c>
      <c r="O17" s="246" t="s">
        <v>291</v>
      </c>
      <c r="P17" s="216">
        <f>P$14-SUM(F$14:F16)</f>
        <v>0.55818181818181811</v>
      </c>
      <c r="Q17" s="216">
        <f>Q$14-SUM(G$14:G16)</f>
        <v>0.55818181818181811</v>
      </c>
      <c r="R17" s="216">
        <f>R$14-SUM(H$14:H16)</f>
        <v>0.55818181818181811</v>
      </c>
      <c r="S17" s="216">
        <f>S$14-SUM(I$14:I16)</f>
        <v>0.55818181818181811</v>
      </c>
      <c r="T17" s="216">
        <f>T$14-SUM(J$14:J16)</f>
        <v>0.55818181818181811</v>
      </c>
      <c r="U17" s="216">
        <f>U$14-SUM(K$14:K16)</f>
        <v>0.55818181818181811</v>
      </c>
      <c r="V17" s="216">
        <f>V$14-SUM(L$14:L16)</f>
        <v>0.45999999999999996</v>
      </c>
      <c r="X17" s="246" t="s">
        <v>291</v>
      </c>
      <c r="Y17" s="244">
        <f>'Peças e Acessórios'!S6</f>
        <v>0</v>
      </c>
      <c r="Z17" s="244">
        <f>'Peças e Acessórios'!T6</f>
        <v>0</v>
      </c>
      <c r="AA17" s="244">
        <f>'Peças e Acessórios'!U6</f>
        <v>0</v>
      </c>
      <c r="AB17" s="244">
        <f>Planilha1!G9</f>
        <v>0</v>
      </c>
      <c r="AC17" s="244">
        <f>'Peças e Acessórios'!W6</f>
        <v>0</v>
      </c>
      <c r="AD17" s="244">
        <f>'Peças e Acessórios'!X6</f>
        <v>0</v>
      </c>
      <c r="AE17" s="244">
        <f>'Peças e Acessórios'!Y6</f>
        <v>0</v>
      </c>
    </row>
    <row r="18" spans="1:31" x14ac:dyDescent="0.3">
      <c r="A18" s="212">
        <f t="shared" si="12"/>
        <v>6</v>
      </c>
      <c r="B18" s="212">
        <f t="shared" si="6"/>
        <v>6</v>
      </c>
      <c r="C18" s="212">
        <f t="shared" si="6"/>
        <v>6</v>
      </c>
      <c r="D18" s="214">
        <f t="shared" si="13"/>
        <v>5</v>
      </c>
      <c r="E18" s="246" t="s">
        <v>292</v>
      </c>
      <c r="F18" s="215">
        <f t="shared" si="7"/>
        <v>9.818181818181819E-2</v>
      </c>
      <c r="G18" s="215">
        <f t="shared" si="8"/>
        <v>9.818181818181819E-2</v>
      </c>
      <c r="H18" s="215">
        <f t="shared" si="9"/>
        <v>9.818181818181819E-2</v>
      </c>
      <c r="I18" s="215">
        <f t="shared" si="10"/>
        <v>9.818181818181819E-2</v>
      </c>
      <c r="J18" s="215">
        <f t="shared" si="11"/>
        <v>9.818181818181819E-2</v>
      </c>
      <c r="K18" s="215">
        <f t="shared" si="11"/>
        <v>9.818181818181819E-2</v>
      </c>
      <c r="L18" s="215">
        <f t="shared" si="11"/>
        <v>0.13090909090909092</v>
      </c>
      <c r="N18" s="214">
        <f t="shared" si="14"/>
        <v>5</v>
      </c>
      <c r="O18" s="246" t="s">
        <v>292</v>
      </c>
      <c r="P18" s="216">
        <f>P$14-SUM(F$14:F17)</f>
        <v>0.44363636363636361</v>
      </c>
      <c r="Q18" s="216">
        <f>Q$14-SUM(G$14:G17)</f>
        <v>0.44363636363636361</v>
      </c>
      <c r="R18" s="216">
        <f>R$14-SUM(H$14:H17)</f>
        <v>0.44363636363636361</v>
      </c>
      <c r="S18" s="216">
        <f>S$14-SUM(I$14:I17)</f>
        <v>0.44363636363636361</v>
      </c>
      <c r="T18" s="216">
        <f>T$14-SUM(J$14:J17)</f>
        <v>0.44363636363636361</v>
      </c>
      <c r="U18" s="216">
        <f>U$14-SUM(K$14:K17)</f>
        <v>0.44363636363636361</v>
      </c>
      <c r="V18" s="216">
        <f>V$14-SUM(L$14:L17)</f>
        <v>0.31272727272727274</v>
      </c>
      <c r="X18" s="246" t="s">
        <v>292</v>
      </c>
      <c r="Y18" s="244">
        <f>'Peças e Acessórios'!S7</f>
        <v>0</v>
      </c>
      <c r="Z18" s="244">
        <f>'Peças e Acessórios'!T7</f>
        <v>0</v>
      </c>
      <c r="AA18" s="244">
        <f>'Peças e Acessórios'!U7</f>
        <v>0</v>
      </c>
      <c r="AB18" s="244">
        <f>Planilha1!G10</f>
        <v>0</v>
      </c>
      <c r="AC18" s="244">
        <f>'Peças e Acessórios'!W7</f>
        <v>0</v>
      </c>
      <c r="AD18" s="244">
        <f>'Peças e Acessórios'!X7</f>
        <v>0</v>
      </c>
      <c r="AE18" s="244">
        <f>'Peças e Acessórios'!Y7</f>
        <v>0</v>
      </c>
    </row>
    <row r="19" spans="1:31" x14ac:dyDescent="0.3">
      <c r="A19" s="212">
        <f t="shared" si="12"/>
        <v>5</v>
      </c>
      <c r="B19" s="212">
        <f t="shared" si="6"/>
        <v>5</v>
      </c>
      <c r="C19" s="212">
        <f t="shared" si="6"/>
        <v>5</v>
      </c>
      <c r="D19" s="214">
        <f t="shared" si="13"/>
        <v>6</v>
      </c>
      <c r="E19" s="246" t="s">
        <v>293</v>
      </c>
      <c r="F19" s="215">
        <f t="shared" si="7"/>
        <v>8.1818181818181818E-2</v>
      </c>
      <c r="G19" s="215">
        <f t="shared" si="8"/>
        <v>8.1818181818181818E-2</v>
      </c>
      <c r="H19" s="215">
        <f t="shared" si="9"/>
        <v>8.1818181818181818E-2</v>
      </c>
      <c r="I19" s="215">
        <f t="shared" si="10"/>
        <v>8.1818181818181818E-2</v>
      </c>
      <c r="J19" s="215">
        <f t="shared" si="11"/>
        <v>8.1818181818181818E-2</v>
      </c>
      <c r="K19" s="215">
        <f t="shared" si="11"/>
        <v>8.1818181818181818E-2</v>
      </c>
      <c r="L19" s="215">
        <f t="shared" si="11"/>
        <v>0.11454545454545455</v>
      </c>
      <c r="N19" s="214">
        <f t="shared" si="14"/>
        <v>6</v>
      </c>
      <c r="O19" s="246" t="s">
        <v>293</v>
      </c>
      <c r="P19" s="216">
        <f>P$14-SUM(F$14:F18)</f>
        <v>0.34545454545454546</v>
      </c>
      <c r="Q19" s="216">
        <f>Q$14-SUM(G$14:G18)</f>
        <v>0.34545454545454546</v>
      </c>
      <c r="R19" s="216">
        <f>R$14-SUM(H$14:H18)</f>
        <v>0.34545454545454546</v>
      </c>
      <c r="S19" s="216">
        <f>S$14-SUM(I$14:I18)</f>
        <v>0.34545454545454546</v>
      </c>
      <c r="T19" s="216">
        <f>T$14-SUM(J$14:J18)</f>
        <v>0.34545454545454546</v>
      </c>
      <c r="U19" s="216">
        <f>U$14-SUM(K$14:K18)</f>
        <v>0.34545454545454546</v>
      </c>
      <c r="V19" s="216">
        <f>V$14-SUM(L$14:L18)</f>
        <v>0.18181818181818188</v>
      </c>
      <c r="X19" s="246" t="s">
        <v>293</v>
      </c>
      <c r="Y19" s="244">
        <f>'Peças e Acessórios'!S8</f>
        <v>0</v>
      </c>
      <c r="Z19" s="244">
        <f>'Peças e Acessórios'!T8</f>
        <v>0</v>
      </c>
      <c r="AA19" s="244">
        <f>'Peças e Acessórios'!U8</f>
        <v>0</v>
      </c>
      <c r="AB19" s="244">
        <f>Planilha1!G11</f>
        <v>0</v>
      </c>
      <c r="AC19" s="244">
        <f>'Peças e Acessórios'!W8</f>
        <v>0</v>
      </c>
      <c r="AD19" s="244">
        <f>'Peças e Acessórios'!X8</f>
        <v>0</v>
      </c>
      <c r="AE19" s="244">
        <f>'Peças e Acessórios'!Y8</f>
        <v>0</v>
      </c>
    </row>
    <row r="20" spans="1:31" x14ac:dyDescent="0.3">
      <c r="A20" s="212">
        <f t="shared" si="12"/>
        <v>4</v>
      </c>
      <c r="B20" s="212">
        <f t="shared" si="6"/>
        <v>4</v>
      </c>
      <c r="C20" s="212">
        <f t="shared" si="6"/>
        <v>4</v>
      </c>
      <c r="D20" s="214">
        <f t="shared" si="13"/>
        <v>7</v>
      </c>
      <c r="E20" s="246" t="s">
        <v>294</v>
      </c>
      <c r="F20" s="215">
        <f t="shared" si="7"/>
        <v>6.545454545454546E-2</v>
      </c>
      <c r="G20" s="215">
        <f t="shared" si="8"/>
        <v>6.545454545454546E-2</v>
      </c>
      <c r="H20" s="215">
        <f t="shared" si="9"/>
        <v>6.545454545454546E-2</v>
      </c>
      <c r="I20" s="215">
        <f t="shared" si="10"/>
        <v>6.545454545454546E-2</v>
      </c>
      <c r="J20" s="215">
        <f t="shared" si="11"/>
        <v>6.545454545454546E-2</v>
      </c>
      <c r="K20" s="215">
        <f t="shared" si="11"/>
        <v>6.545454545454546E-2</v>
      </c>
      <c r="L20" s="215">
        <f t="shared" si="11"/>
        <v>9.818181818181819E-2</v>
      </c>
      <c r="N20" s="214">
        <f t="shared" si="14"/>
        <v>7</v>
      </c>
      <c r="O20" s="246" t="s">
        <v>294</v>
      </c>
      <c r="P20" s="216">
        <f>P$14-SUM(F$14:F19)</f>
        <v>0.26363636363636367</v>
      </c>
      <c r="Q20" s="216">
        <f>Q$14-SUM(G$14:G19)</f>
        <v>0.26363636363636367</v>
      </c>
      <c r="R20" s="216">
        <f>R$14-SUM(H$14:H19)</f>
        <v>0.26363636363636367</v>
      </c>
      <c r="S20" s="216">
        <f>S$14-SUM(I$14:I19)</f>
        <v>0.26363636363636367</v>
      </c>
      <c r="T20" s="216">
        <f>T$14-SUM(J$14:J19)</f>
        <v>0.26363636363636367</v>
      </c>
      <c r="U20" s="216">
        <f>U$14-SUM(K$14:K19)</f>
        <v>0.26363636363636367</v>
      </c>
      <c r="V20" s="216">
        <f>V$14-SUM(L$14:L19)</f>
        <v>6.7272727272727373E-2</v>
      </c>
      <c r="X20" s="246" t="s">
        <v>294</v>
      </c>
      <c r="Y20" s="244">
        <f>'Peças e Acessórios'!S9</f>
        <v>0</v>
      </c>
      <c r="Z20" s="244">
        <f>'Peças e Acessórios'!T9</f>
        <v>0</v>
      </c>
      <c r="AA20" s="244">
        <f>'Peças e Acessórios'!U9</f>
        <v>0</v>
      </c>
      <c r="AB20" s="244">
        <f>Planilha1!G12</f>
        <v>0</v>
      </c>
      <c r="AC20" s="244">
        <f>'Peças e Acessórios'!W9</f>
        <v>0</v>
      </c>
      <c r="AD20" s="244">
        <f>'Peças e Acessórios'!X9</f>
        <v>0</v>
      </c>
      <c r="AE20" s="244">
        <f>'Peças e Acessórios'!Y9</f>
        <v>0</v>
      </c>
    </row>
    <row r="21" spans="1:31" x14ac:dyDescent="0.3">
      <c r="A21" s="212">
        <f t="shared" si="12"/>
        <v>3</v>
      </c>
      <c r="B21" s="212">
        <f t="shared" si="6"/>
        <v>3</v>
      </c>
      <c r="C21" s="212">
        <f t="shared" si="6"/>
        <v>3</v>
      </c>
      <c r="D21" s="214">
        <f t="shared" si="13"/>
        <v>8</v>
      </c>
      <c r="E21" s="246" t="s">
        <v>295</v>
      </c>
      <c r="F21" s="215">
        <f t="shared" si="7"/>
        <v>4.9090909090909095E-2</v>
      </c>
      <c r="G21" s="215">
        <f t="shared" si="8"/>
        <v>4.9090909090909095E-2</v>
      </c>
      <c r="H21" s="215">
        <f t="shared" si="9"/>
        <v>4.9090909090909095E-2</v>
      </c>
      <c r="I21" s="215">
        <f t="shared" si="10"/>
        <v>4.9090909090909095E-2</v>
      </c>
      <c r="J21" s="215">
        <f t="shared" si="11"/>
        <v>4.9090909090909095E-2</v>
      </c>
      <c r="K21" s="215">
        <f t="shared" si="11"/>
        <v>4.9090909090909095E-2</v>
      </c>
      <c r="L21" s="215">
        <f t="shared" si="11"/>
        <v>8.1818181818181818E-2</v>
      </c>
      <c r="N21" s="214">
        <f t="shared" si="14"/>
        <v>8</v>
      </c>
      <c r="O21" s="246" t="s">
        <v>295</v>
      </c>
      <c r="P21" s="216">
        <f>P$14-SUM(F$14:F20)</f>
        <v>0.19818181818181824</v>
      </c>
      <c r="Q21" s="216">
        <f>Q$14-SUM(G$14:G20)</f>
        <v>0.19818181818181824</v>
      </c>
      <c r="R21" s="216">
        <f>R$14-SUM(H$14:H20)</f>
        <v>0.19818181818181824</v>
      </c>
      <c r="S21" s="216">
        <f>S$14-SUM(I$14:I20)</f>
        <v>0.19818181818181824</v>
      </c>
      <c r="T21" s="216">
        <f>T$14-SUM(J$14:J20)</f>
        <v>0.19818181818181824</v>
      </c>
      <c r="U21" s="216">
        <f>U$14-SUM(K$14:K20)</f>
        <v>0.19818181818181824</v>
      </c>
      <c r="V21" s="216">
        <f>V$14-SUM(L$14:L20)</f>
        <v>-3.0909090909090775E-2</v>
      </c>
      <c r="X21" s="246" t="s">
        <v>295</v>
      </c>
      <c r="Y21" s="244">
        <f>'Peças e Acessórios'!S10</f>
        <v>0</v>
      </c>
      <c r="Z21" s="244">
        <f>'Peças e Acessórios'!T10</f>
        <v>0</v>
      </c>
      <c r="AA21" s="244">
        <f>'Peças e Acessórios'!U10</f>
        <v>0</v>
      </c>
      <c r="AB21" s="244">
        <f>Planilha1!G13</f>
        <v>0</v>
      </c>
      <c r="AC21" s="244">
        <f>'Peças e Acessórios'!W10</f>
        <v>0</v>
      </c>
      <c r="AD21" s="244">
        <f>'Peças e Acessórios'!X10</f>
        <v>0</v>
      </c>
      <c r="AE21" s="244">
        <f>'Peças e Acessórios'!Y10</f>
        <v>0</v>
      </c>
    </row>
    <row r="22" spans="1:31" x14ac:dyDescent="0.3">
      <c r="A22" s="212">
        <f t="shared" si="12"/>
        <v>2</v>
      </c>
      <c r="B22" s="212">
        <f t="shared" si="6"/>
        <v>2</v>
      </c>
      <c r="C22" s="212">
        <f t="shared" si="6"/>
        <v>2</v>
      </c>
      <c r="D22" s="214">
        <f t="shared" si="13"/>
        <v>9</v>
      </c>
      <c r="E22" s="246" t="s">
        <v>296</v>
      </c>
      <c r="F22" s="215">
        <f t="shared" si="7"/>
        <v>3.272727272727273E-2</v>
      </c>
      <c r="G22" s="215">
        <f t="shared" si="8"/>
        <v>3.272727272727273E-2</v>
      </c>
      <c r="H22" s="215">
        <f t="shared" si="9"/>
        <v>3.272727272727273E-2</v>
      </c>
      <c r="I22" s="215">
        <f t="shared" si="10"/>
        <v>3.272727272727273E-2</v>
      </c>
      <c r="J22" s="215">
        <f t="shared" si="11"/>
        <v>3.272727272727273E-2</v>
      </c>
      <c r="K22" s="215">
        <f t="shared" si="11"/>
        <v>3.272727272727273E-2</v>
      </c>
      <c r="L22" s="215">
        <f t="shared" si="11"/>
        <v>6.545454545454546E-2</v>
      </c>
      <c r="N22" s="214">
        <f t="shared" si="14"/>
        <v>9</v>
      </c>
      <c r="O22" s="246" t="s">
        <v>296</v>
      </c>
      <c r="P22" s="216">
        <f>P$14-SUM(F$14:F21)</f>
        <v>0.14909090909090916</v>
      </c>
      <c r="Q22" s="216">
        <f>Q$14-SUM(G$14:G21)</f>
        <v>0.14909090909090916</v>
      </c>
      <c r="R22" s="216">
        <f>R$14-SUM(H$14:H21)</f>
        <v>0.14909090909090916</v>
      </c>
      <c r="S22" s="216">
        <f>S$14-SUM(I$14:I21)</f>
        <v>0.14909090909090916</v>
      </c>
      <c r="T22" s="216">
        <f>T$14-SUM(J$14:J21)</f>
        <v>0.14909090909090916</v>
      </c>
      <c r="U22" s="216">
        <f>U$14-SUM(K$14:K21)</f>
        <v>0.14909090909090916</v>
      </c>
      <c r="V22" s="216">
        <f>V$14-SUM(L$14:L21)</f>
        <v>-0.11272727272727256</v>
      </c>
      <c r="X22" s="246" t="s">
        <v>296</v>
      </c>
      <c r="Y22" s="244">
        <f>'Peças e Acessórios'!S11</f>
        <v>10</v>
      </c>
      <c r="Z22" s="244">
        <f>'Peças e Acessórios'!T11</f>
        <v>0</v>
      </c>
      <c r="AA22" s="244">
        <f>'Peças e Acessórios'!U11</f>
        <v>0</v>
      </c>
      <c r="AB22" s="244">
        <f>Planilha1!G14</f>
        <v>0</v>
      </c>
      <c r="AC22" s="244">
        <f>'Peças e Acessórios'!W11</f>
        <v>0</v>
      </c>
      <c r="AD22" s="244">
        <f>'Peças e Acessórios'!X11</f>
        <v>0</v>
      </c>
      <c r="AE22" s="244">
        <f>'Peças e Acessórios'!Y11</f>
        <v>0</v>
      </c>
    </row>
    <row r="23" spans="1:31" x14ac:dyDescent="0.3">
      <c r="A23" s="212">
        <f t="shared" si="12"/>
        <v>1</v>
      </c>
      <c r="B23" s="212">
        <f t="shared" si="6"/>
        <v>1</v>
      </c>
      <c r="C23" s="212">
        <f t="shared" si="6"/>
        <v>1</v>
      </c>
      <c r="D23" s="214">
        <f t="shared" si="13"/>
        <v>10</v>
      </c>
      <c r="E23" s="246" t="s">
        <v>297</v>
      </c>
      <c r="F23" s="215">
        <f t="shared" si="7"/>
        <v>1.6363636363636365E-2</v>
      </c>
      <c r="G23" s="215">
        <f t="shared" si="8"/>
        <v>1.6363636363636365E-2</v>
      </c>
      <c r="H23" s="215">
        <f t="shared" si="9"/>
        <v>1.6363636363636365E-2</v>
      </c>
      <c r="I23" s="215">
        <f t="shared" si="10"/>
        <v>1.6363636363636365E-2</v>
      </c>
      <c r="J23" s="215">
        <f t="shared" si="11"/>
        <v>1.6363636363636365E-2</v>
      </c>
      <c r="K23" s="215">
        <f t="shared" si="11"/>
        <v>1.6363636363636365E-2</v>
      </c>
      <c r="L23" s="215">
        <f t="shared" si="11"/>
        <v>4.9090909090909095E-2</v>
      </c>
      <c r="N23" s="214">
        <f t="shared" si="14"/>
        <v>10</v>
      </c>
      <c r="O23" s="246" t="s">
        <v>297</v>
      </c>
      <c r="P23" s="216">
        <f>P$14-SUM(F$14:F22)</f>
        <v>0.11636363636363645</v>
      </c>
      <c r="Q23" s="216">
        <f>Q$14-SUM(G$14:G22)</f>
        <v>0.11636363636363645</v>
      </c>
      <c r="R23" s="216">
        <f>R$14-SUM(H$14:H22)</f>
        <v>0.11636363636363645</v>
      </c>
      <c r="S23" s="216">
        <f>S$14-SUM(I$14:I22)</f>
        <v>0.11636363636363645</v>
      </c>
      <c r="T23" s="216">
        <f>T$14-SUM(J$14:J22)</f>
        <v>0.11636363636363645</v>
      </c>
      <c r="U23" s="216">
        <f>U$14-SUM(K$14:K22)</f>
        <v>0.11636363636363645</v>
      </c>
      <c r="V23" s="216">
        <f>V$14-SUM(L$14:L22)</f>
        <v>-0.178181818181818</v>
      </c>
      <c r="X23" s="246" t="s">
        <v>297</v>
      </c>
      <c r="Y23" s="244">
        <f>'Peças e Acessórios'!S12</f>
        <v>0</v>
      </c>
      <c r="Z23" s="244">
        <f>'Peças e Acessórios'!T12</f>
        <v>0</v>
      </c>
      <c r="AA23" s="244">
        <f>'Peças e Acessórios'!U12</f>
        <v>0</v>
      </c>
      <c r="AB23" s="244">
        <f>Planilha1!G15</f>
        <v>0</v>
      </c>
      <c r="AC23" s="244">
        <f>'Peças e Acessórios'!W12</f>
        <v>0</v>
      </c>
      <c r="AD23" s="244">
        <f>'Peças e Acessórios'!X12</f>
        <v>0</v>
      </c>
      <c r="AE23" s="244">
        <f>'Peças e Acessórios'!Y12</f>
        <v>0</v>
      </c>
    </row>
    <row r="24" spans="1:31" x14ac:dyDescent="0.3">
      <c r="A24" s="212">
        <f t="shared" si="12"/>
        <v>0</v>
      </c>
      <c r="B24" s="212">
        <f t="shared" si="6"/>
        <v>0</v>
      </c>
      <c r="C24" s="212">
        <f t="shared" si="6"/>
        <v>0</v>
      </c>
      <c r="D24" s="214">
        <f t="shared" si="13"/>
        <v>11</v>
      </c>
      <c r="E24" s="246" t="s">
        <v>298</v>
      </c>
      <c r="F24" s="215">
        <f>IF((1-F$6)*(F$7-$D24+1)/A$27&lt;=0,0,(1-F$6)*(F$7-$D24+1)/A$27)</f>
        <v>0</v>
      </c>
      <c r="G24" s="215">
        <f t="shared" si="8"/>
        <v>0</v>
      </c>
      <c r="H24" s="215">
        <f t="shared" si="9"/>
        <v>0</v>
      </c>
      <c r="I24" s="215">
        <f t="shared" si="10"/>
        <v>0</v>
      </c>
      <c r="J24" s="215">
        <f t="shared" si="11"/>
        <v>0</v>
      </c>
      <c r="K24" s="215">
        <f t="shared" si="11"/>
        <v>0</v>
      </c>
      <c r="L24" s="215">
        <f t="shared" si="11"/>
        <v>3.272727272727273E-2</v>
      </c>
      <c r="N24" s="214">
        <f t="shared" si="14"/>
        <v>11</v>
      </c>
      <c r="O24" s="246" t="s">
        <v>298</v>
      </c>
      <c r="P24" s="216">
        <f>P$14-SUM(F$14:F23)</f>
        <v>0.10000000000000009</v>
      </c>
      <c r="Q24" s="216">
        <f>Q$14-SUM(G$14:G23)</f>
        <v>0.10000000000000009</v>
      </c>
      <c r="R24" s="216">
        <f>R$14-SUM(H$14:H23)</f>
        <v>0.10000000000000009</v>
      </c>
      <c r="S24" s="216">
        <f>S$14-SUM(I$14:I23)</f>
        <v>0.10000000000000009</v>
      </c>
      <c r="T24" s="216">
        <f>T$14-SUM(J$14:J23)</f>
        <v>0.10000000000000009</v>
      </c>
      <c r="U24" s="216">
        <f>U$14-SUM(K$14:K23)</f>
        <v>0.10000000000000009</v>
      </c>
      <c r="V24" s="216">
        <f>V$14-SUM(L$14:L23)</f>
        <v>-0.22727272727272707</v>
      </c>
      <c r="X24" s="246" t="s">
        <v>298</v>
      </c>
      <c r="Y24" s="244">
        <f>'Peças e Acessórios'!S13</f>
        <v>0</v>
      </c>
      <c r="Z24" s="244">
        <f>'Peças e Acessórios'!T13</f>
        <v>0</v>
      </c>
      <c r="AA24" s="244">
        <f>'Peças e Acessórios'!U13</f>
        <v>0</v>
      </c>
      <c r="AB24" s="244">
        <f>Planilha1!G16</f>
        <v>0</v>
      </c>
      <c r="AC24" s="244">
        <f>'Peças e Acessórios'!W13</f>
        <v>0</v>
      </c>
      <c r="AD24" s="244">
        <f>'Peças e Acessórios'!X13</f>
        <v>0</v>
      </c>
      <c r="AE24" s="244">
        <f>'Peças e Acessórios'!Y13</f>
        <v>0</v>
      </c>
    </row>
    <row r="25" spans="1:31" x14ac:dyDescent="0.3">
      <c r="A25" s="212">
        <f t="shared" si="12"/>
        <v>0</v>
      </c>
      <c r="B25" s="212">
        <f t="shared" si="6"/>
        <v>0</v>
      </c>
      <c r="C25" s="212">
        <f t="shared" si="6"/>
        <v>0</v>
      </c>
      <c r="D25" s="214">
        <f t="shared" si="13"/>
        <v>12</v>
      </c>
      <c r="E25" s="246" t="s">
        <v>299</v>
      </c>
      <c r="F25" s="215">
        <f t="shared" si="7"/>
        <v>0</v>
      </c>
      <c r="G25" s="215">
        <f t="shared" si="8"/>
        <v>0</v>
      </c>
      <c r="H25" s="215">
        <f t="shared" si="9"/>
        <v>0</v>
      </c>
      <c r="I25" s="215">
        <f t="shared" si="10"/>
        <v>0</v>
      </c>
      <c r="J25" s="215">
        <f t="shared" si="11"/>
        <v>0</v>
      </c>
      <c r="K25" s="215">
        <f t="shared" si="11"/>
        <v>0</v>
      </c>
      <c r="L25" s="215">
        <f t="shared" si="11"/>
        <v>1.6363636363636365E-2</v>
      </c>
      <c r="N25" s="214">
        <f t="shared" si="14"/>
        <v>12</v>
      </c>
      <c r="O25" s="246" t="s">
        <v>299</v>
      </c>
      <c r="P25" s="216">
        <f>P$14-SUM(F$14:F24)</f>
        <v>0.10000000000000009</v>
      </c>
      <c r="Q25" s="216">
        <f>Q$14-SUM(G$14:G24)</f>
        <v>0.10000000000000009</v>
      </c>
      <c r="R25" s="216">
        <f>R$14-SUM(H$14:H24)</f>
        <v>0.10000000000000009</v>
      </c>
      <c r="S25" s="216">
        <f>S$14-SUM(I$14:I24)</f>
        <v>0.10000000000000009</v>
      </c>
      <c r="T25" s="216">
        <f>T$14-SUM(J$14:J24)</f>
        <v>0.10000000000000009</v>
      </c>
      <c r="U25" s="216">
        <f>U$14-SUM(K$14:K24)</f>
        <v>0.10000000000000009</v>
      </c>
      <c r="V25" s="216">
        <f>V$14-SUM(L$14:L24)</f>
        <v>-0.25999999999999979</v>
      </c>
      <c r="X25" s="246" t="s">
        <v>299</v>
      </c>
      <c r="Y25" s="244">
        <f>'Peças e Acessórios'!S14</f>
        <v>0</v>
      </c>
      <c r="Z25" s="244">
        <f>'Peças e Acessórios'!T14</f>
        <v>0</v>
      </c>
      <c r="AA25" s="244">
        <f>'Peças e Acessórios'!U14</f>
        <v>11</v>
      </c>
      <c r="AB25" s="244">
        <f>'Peças e Acessórios'!V14</f>
        <v>0</v>
      </c>
      <c r="AC25" s="244">
        <f>'Peças e Acessórios'!W14</f>
        <v>0</v>
      </c>
      <c r="AD25" s="244">
        <f>'Peças e Acessórios'!X14</f>
        <v>0</v>
      </c>
      <c r="AE25" s="244">
        <f>'Peças e Acessórios'!Y14</f>
        <v>0</v>
      </c>
    </row>
    <row r="26" spans="1:31" x14ac:dyDescent="0.3">
      <c r="A26" s="212">
        <f t="shared" si="12"/>
        <v>0</v>
      </c>
      <c r="B26" s="212">
        <f t="shared" si="6"/>
        <v>0</v>
      </c>
      <c r="C26" s="212">
        <f t="shared" si="6"/>
        <v>0</v>
      </c>
      <c r="D26" s="214">
        <f>D25+1</f>
        <v>13</v>
      </c>
      <c r="E26" s="246" t="s">
        <v>300</v>
      </c>
      <c r="F26" s="215">
        <f t="shared" si="7"/>
        <v>0</v>
      </c>
      <c r="G26" s="215">
        <f t="shared" si="8"/>
        <v>0</v>
      </c>
      <c r="H26" s="215">
        <f t="shared" si="9"/>
        <v>0</v>
      </c>
      <c r="I26" s="215">
        <f t="shared" si="10"/>
        <v>0</v>
      </c>
      <c r="J26" s="215">
        <f t="shared" si="11"/>
        <v>0</v>
      </c>
      <c r="K26" s="215">
        <f t="shared" si="11"/>
        <v>0</v>
      </c>
      <c r="L26" s="215">
        <f t="shared" si="11"/>
        <v>0</v>
      </c>
      <c r="N26" s="214">
        <f>N25+1</f>
        <v>13</v>
      </c>
      <c r="O26" s="246" t="s">
        <v>300</v>
      </c>
      <c r="P26" s="216">
        <f>P$14-SUM(F$14:F25)</f>
        <v>0.10000000000000009</v>
      </c>
      <c r="Q26" s="216">
        <f>Q$14-SUM(G$14:G25)</f>
        <v>0.10000000000000009</v>
      </c>
      <c r="R26" s="216">
        <f>R$14-SUM(H$14:H25)</f>
        <v>0.10000000000000009</v>
      </c>
      <c r="S26" s="216">
        <f>S$14-SUM(I$14:I25)</f>
        <v>0.10000000000000009</v>
      </c>
      <c r="T26" s="216">
        <f>T$14-SUM(J$14:J25)</f>
        <v>0.10000000000000009</v>
      </c>
      <c r="U26" s="216">
        <f>U$14-SUM(K$14:K25)</f>
        <v>0.10000000000000009</v>
      </c>
      <c r="V26" s="216">
        <f>V$14-SUM(L$14:L25)</f>
        <v>-0.27636363636363614</v>
      </c>
      <c r="X26" s="246" t="s">
        <v>300</v>
      </c>
      <c r="Y26" s="244">
        <f>'Peças e Acessórios'!S15</f>
        <v>0</v>
      </c>
      <c r="Z26" s="244">
        <f>'Peças e Acessórios'!T15</f>
        <v>0</v>
      </c>
      <c r="AA26" s="244">
        <f>'Peças e Acessórios'!U15</f>
        <v>0</v>
      </c>
      <c r="AB26" s="244">
        <f>'Peças e Acessórios'!V15</f>
        <v>0</v>
      </c>
      <c r="AC26" s="244">
        <f>'Peças e Acessórios'!W15</f>
        <v>0</v>
      </c>
      <c r="AD26" s="244">
        <f>'Peças e Acessórios'!X15</f>
        <v>0</v>
      </c>
      <c r="AE26" s="244">
        <f>'Peças e Acessórios'!Y15</f>
        <v>0</v>
      </c>
    </row>
    <row r="27" spans="1:31" x14ac:dyDescent="0.3">
      <c r="A27" s="212">
        <f>SUM(A14:A26)</f>
        <v>55</v>
      </c>
      <c r="B27" s="212">
        <f>SUM(B14:B26)</f>
        <v>55</v>
      </c>
      <c r="C27" s="212">
        <f>SUM(C14:C26)</f>
        <v>55</v>
      </c>
      <c r="Y27" s="19">
        <f>SUM(Y14:Y26)</f>
        <v>10</v>
      </c>
      <c r="Z27" s="19">
        <f t="shared" ref="Z27:AE27" si="15">SUM(Z14:Z26)</f>
        <v>1</v>
      </c>
      <c r="AA27" s="19">
        <f t="shared" si="15"/>
        <v>11</v>
      </c>
      <c r="AB27" s="19">
        <f t="shared" si="15"/>
        <v>22</v>
      </c>
      <c r="AC27" s="19">
        <f t="shared" si="15"/>
        <v>0</v>
      </c>
      <c r="AD27" s="19">
        <f t="shared" si="15"/>
        <v>5</v>
      </c>
      <c r="AE27" s="19">
        <f t="shared" si="15"/>
        <v>0</v>
      </c>
    </row>
    <row r="28" spans="1:31" x14ac:dyDescent="0.3">
      <c r="E28" s="34" t="s">
        <v>301</v>
      </c>
      <c r="F28" s="19"/>
      <c r="G28" s="19"/>
      <c r="I28" s="19"/>
      <c r="K28" s="19"/>
      <c r="L28" s="19"/>
      <c r="O28" s="34" t="s">
        <v>280</v>
      </c>
    </row>
    <row r="29" spans="1:31" x14ac:dyDescent="0.3">
      <c r="E29" s="2"/>
      <c r="F29" s="19"/>
      <c r="G29" s="19"/>
      <c r="H29" s="19"/>
      <c r="I29" s="19"/>
      <c r="J29" s="19"/>
      <c r="K29" s="19"/>
      <c r="L29" s="19"/>
    </row>
    <row r="30" spans="1:31" x14ac:dyDescent="0.3">
      <c r="E30" s="245" t="s">
        <v>287</v>
      </c>
      <c r="F30" s="213" t="str">
        <f>F13</f>
        <v>Microônibus - Sem Ar</v>
      </c>
      <c r="G30" s="213" t="str">
        <f t="shared" ref="G30:L30" si="16">G13</f>
        <v>Microônibus - Com Ar</v>
      </c>
      <c r="H30" s="213" t="str">
        <f t="shared" si="16"/>
        <v>Midiônibus - Sem Ar</v>
      </c>
      <c r="I30" s="213" t="str">
        <f t="shared" si="16"/>
        <v>Midiônibus - Com Ar</v>
      </c>
      <c r="J30" s="213" t="str">
        <f t="shared" si="16"/>
        <v>Básico - Sem Ar</v>
      </c>
      <c r="K30" s="213" t="str">
        <f t="shared" si="16"/>
        <v>Básico - Com Ar</v>
      </c>
      <c r="L30" s="213" t="str">
        <f t="shared" si="16"/>
        <v>Ônibus Padron</v>
      </c>
      <c r="O30" s="245" t="s">
        <v>287</v>
      </c>
      <c r="P30" s="213" t="str">
        <f>P13</f>
        <v>Microônibus - Sem Ar</v>
      </c>
      <c r="Q30" s="213" t="str">
        <f t="shared" ref="Q30:V30" si="17">Q13</f>
        <v>Microônibus - Com Ar</v>
      </c>
      <c r="R30" s="213" t="str">
        <f t="shared" si="17"/>
        <v>Midiônibus - Sem Ar</v>
      </c>
      <c r="S30" s="213" t="str">
        <f t="shared" si="17"/>
        <v>Midiônibus - Com Ar</v>
      </c>
      <c r="T30" s="213" t="str">
        <f t="shared" si="17"/>
        <v>Básico - Sem Ar</v>
      </c>
      <c r="U30" s="213" t="str">
        <f t="shared" si="17"/>
        <v>Básico - Com Ar</v>
      </c>
      <c r="V30" s="213" t="str">
        <f t="shared" si="17"/>
        <v>Ônibus Padron</v>
      </c>
    </row>
    <row r="31" spans="1:31" x14ac:dyDescent="0.3">
      <c r="E31" s="246" t="s">
        <v>288</v>
      </c>
      <c r="F31" s="217">
        <f t="shared" ref="F31:L31" si="18">F14*Y14</f>
        <v>0</v>
      </c>
      <c r="G31" s="217">
        <f t="shared" si="18"/>
        <v>0</v>
      </c>
      <c r="H31" s="217">
        <f t="shared" si="18"/>
        <v>0</v>
      </c>
      <c r="I31" s="217">
        <f t="shared" si="18"/>
        <v>0</v>
      </c>
      <c r="J31" s="217">
        <f t="shared" si="18"/>
        <v>0</v>
      </c>
      <c r="K31" s="217">
        <f t="shared" si="18"/>
        <v>0</v>
      </c>
      <c r="L31" s="217">
        <f t="shared" si="18"/>
        <v>0</v>
      </c>
      <c r="O31" s="246" t="s">
        <v>288</v>
      </c>
      <c r="P31" s="217">
        <f>P14*Y14</f>
        <v>0</v>
      </c>
      <c r="Q31" s="217">
        <f t="shared" ref="Q31:V31" si="19">Q14*Z14</f>
        <v>0</v>
      </c>
      <c r="R31" s="217">
        <f t="shared" si="19"/>
        <v>0</v>
      </c>
      <c r="S31" s="217">
        <f t="shared" si="19"/>
        <v>0</v>
      </c>
      <c r="T31" s="217">
        <f t="shared" si="19"/>
        <v>0</v>
      </c>
      <c r="U31" s="217">
        <f t="shared" si="19"/>
        <v>0</v>
      </c>
      <c r="V31" s="217">
        <f t="shared" si="19"/>
        <v>0</v>
      </c>
    </row>
    <row r="32" spans="1:31" x14ac:dyDescent="0.3">
      <c r="E32" s="246" t="s">
        <v>289</v>
      </c>
      <c r="F32" s="217">
        <f t="shared" ref="F32:F43" si="20">F15*Y15</f>
        <v>0</v>
      </c>
      <c r="G32" s="217">
        <f t="shared" ref="G32:G43" si="21">G15*Z15</f>
        <v>0.14727272727272728</v>
      </c>
      <c r="H32" s="217">
        <f t="shared" ref="H32:H43" si="22">H15*AA15</f>
        <v>0</v>
      </c>
      <c r="I32" s="217">
        <f t="shared" ref="I32:I43" si="23">I15*AB15</f>
        <v>3.24</v>
      </c>
      <c r="J32" s="217">
        <f t="shared" ref="J32:J43" si="24">J15*AC15</f>
        <v>0</v>
      </c>
      <c r="K32" s="217">
        <f t="shared" ref="K32:K43" si="25">K15*AD15</f>
        <v>0.73636363636363633</v>
      </c>
      <c r="L32" s="217">
        <f t="shared" ref="L32:L43" si="26">L15*AE15</f>
        <v>0</v>
      </c>
      <c r="O32" s="246" t="s">
        <v>289</v>
      </c>
      <c r="P32" s="217">
        <f t="shared" ref="P32:P43" si="27">P15*Y15</f>
        <v>0</v>
      </c>
      <c r="Q32" s="217">
        <f t="shared" ref="Q32:Q43" si="28">Q15*Z15</f>
        <v>0.83636363636363642</v>
      </c>
      <c r="R32" s="217">
        <f t="shared" ref="R32:R43" si="29">R15*AA15</f>
        <v>0</v>
      </c>
      <c r="S32" s="217">
        <f t="shared" ref="S32:S43" si="30">S15*AB15</f>
        <v>18.400000000000002</v>
      </c>
      <c r="T32" s="217">
        <f t="shared" ref="T32:T43" si="31">T15*AC15</f>
        <v>0</v>
      </c>
      <c r="U32" s="217">
        <f t="shared" ref="U32:U43" si="32">U15*AD15</f>
        <v>4.1818181818181817</v>
      </c>
      <c r="V32" s="217">
        <f t="shared" ref="V32:V43" si="33">V15*AE15</f>
        <v>0</v>
      </c>
    </row>
    <row r="33" spans="5:22" x14ac:dyDescent="0.3">
      <c r="E33" s="246" t="s">
        <v>290</v>
      </c>
      <c r="F33" s="217">
        <f t="shared" si="20"/>
        <v>0</v>
      </c>
      <c r="G33" s="217">
        <f t="shared" si="21"/>
        <v>0</v>
      </c>
      <c r="H33" s="217">
        <f t="shared" si="22"/>
        <v>0</v>
      </c>
      <c r="I33" s="217">
        <f t="shared" si="23"/>
        <v>0</v>
      </c>
      <c r="J33" s="217">
        <f t="shared" si="24"/>
        <v>0</v>
      </c>
      <c r="K33" s="217">
        <f t="shared" si="25"/>
        <v>0</v>
      </c>
      <c r="L33" s="217">
        <f t="shared" si="26"/>
        <v>0</v>
      </c>
      <c r="O33" s="246" t="s">
        <v>290</v>
      </c>
      <c r="P33" s="217">
        <f t="shared" si="27"/>
        <v>0</v>
      </c>
      <c r="Q33" s="217">
        <f t="shared" si="28"/>
        <v>0</v>
      </c>
      <c r="R33" s="217">
        <f t="shared" si="29"/>
        <v>0</v>
      </c>
      <c r="S33" s="217">
        <f t="shared" si="30"/>
        <v>0</v>
      </c>
      <c r="T33" s="217">
        <f t="shared" si="31"/>
        <v>0</v>
      </c>
      <c r="U33" s="217">
        <f t="shared" si="32"/>
        <v>0</v>
      </c>
      <c r="V33" s="217">
        <f t="shared" si="33"/>
        <v>0</v>
      </c>
    </row>
    <row r="34" spans="5:22" x14ac:dyDescent="0.3">
      <c r="E34" s="246" t="s">
        <v>291</v>
      </c>
      <c r="F34" s="217">
        <f t="shared" si="20"/>
        <v>0</v>
      </c>
      <c r="G34" s="217">
        <f t="shared" si="21"/>
        <v>0</v>
      </c>
      <c r="H34" s="217">
        <f t="shared" si="22"/>
        <v>0</v>
      </c>
      <c r="I34" s="217">
        <f t="shared" si="23"/>
        <v>0</v>
      </c>
      <c r="J34" s="217">
        <f t="shared" si="24"/>
        <v>0</v>
      </c>
      <c r="K34" s="217">
        <f t="shared" si="25"/>
        <v>0</v>
      </c>
      <c r="L34" s="217">
        <f t="shared" si="26"/>
        <v>0</v>
      </c>
      <c r="O34" s="246" t="s">
        <v>291</v>
      </c>
      <c r="P34" s="217">
        <f t="shared" si="27"/>
        <v>0</v>
      </c>
      <c r="Q34" s="217">
        <f t="shared" si="28"/>
        <v>0</v>
      </c>
      <c r="R34" s="217">
        <f t="shared" si="29"/>
        <v>0</v>
      </c>
      <c r="S34" s="217">
        <f t="shared" si="30"/>
        <v>0</v>
      </c>
      <c r="T34" s="217">
        <f t="shared" si="31"/>
        <v>0</v>
      </c>
      <c r="U34" s="217">
        <f t="shared" si="32"/>
        <v>0</v>
      </c>
      <c r="V34" s="217">
        <f t="shared" si="33"/>
        <v>0</v>
      </c>
    </row>
    <row r="35" spans="5:22" x14ac:dyDescent="0.3">
      <c r="E35" s="246" t="s">
        <v>292</v>
      </c>
      <c r="F35" s="217">
        <f t="shared" si="20"/>
        <v>0</v>
      </c>
      <c r="G35" s="217">
        <f t="shared" si="21"/>
        <v>0</v>
      </c>
      <c r="H35" s="217">
        <f t="shared" si="22"/>
        <v>0</v>
      </c>
      <c r="I35" s="217">
        <f t="shared" si="23"/>
        <v>0</v>
      </c>
      <c r="J35" s="217">
        <f t="shared" si="24"/>
        <v>0</v>
      </c>
      <c r="K35" s="217">
        <f t="shared" si="25"/>
        <v>0</v>
      </c>
      <c r="L35" s="217">
        <f t="shared" si="26"/>
        <v>0</v>
      </c>
      <c r="O35" s="246" t="s">
        <v>292</v>
      </c>
      <c r="P35" s="217">
        <f t="shared" si="27"/>
        <v>0</v>
      </c>
      <c r="Q35" s="217">
        <f t="shared" si="28"/>
        <v>0</v>
      </c>
      <c r="R35" s="217">
        <f t="shared" si="29"/>
        <v>0</v>
      </c>
      <c r="S35" s="217">
        <f t="shared" si="30"/>
        <v>0</v>
      </c>
      <c r="T35" s="217">
        <f t="shared" si="31"/>
        <v>0</v>
      </c>
      <c r="U35" s="217">
        <f t="shared" si="32"/>
        <v>0</v>
      </c>
      <c r="V35" s="217">
        <f t="shared" si="33"/>
        <v>0</v>
      </c>
    </row>
    <row r="36" spans="5:22" x14ac:dyDescent="0.3">
      <c r="E36" s="246" t="s">
        <v>293</v>
      </c>
      <c r="F36" s="217">
        <f t="shared" si="20"/>
        <v>0</v>
      </c>
      <c r="G36" s="217">
        <f t="shared" si="21"/>
        <v>0</v>
      </c>
      <c r="H36" s="217">
        <f t="shared" si="22"/>
        <v>0</v>
      </c>
      <c r="I36" s="217">
        <f t="shared" si="23"/>
        <v>0</v>
      </c>
      <c r="J36" s="217">
        <f t="shared" si="24"/>
        <v>0</v>
      </c>
      <c r="K36" s="217">
        <f t="shared" si="25"/>
        <v>0</v>
      </c>
      <c r="L36" s="217">
        <f t="shared" si="26"/>
        <v>0</v>
      </c>
      <c r="O36" s="246" t="s">
        <v>293</v>
      </c>
      <c r="P36" s="217">
        <f t="shared" si="27"/>
        <v>0</v>
      </c>
      <c r="Q36" s="217">
        <f t="shared" si="28"/>
        <v>0</v>
      </c>
      <c r="R36" s="217">
        <f t="shared" si="29"/>
        <v>0</v>
      </c>
      <c r="S36" s="217">
        <f t="shared" si="30"/>
        <v>0</v>
      </c>
      <c r="T36" s="217">
        <f t="shared" si="31"/>
        <v>0</v>
      </c>
      <c r="U36" s="217">
        <f t="shared" si="32"/>
        <v>0</v>
      </c>
      <c r="V36" s="217">
        <f t="shared" si="33"/>
        <v>0</v>
      </c>
    </row>
    <row r="37" spans="5:22" x14ac:dyDescent="0.3">
      <c r="E37" s="246" t="s">
        <v>294</v>
      </c>
      <c r="F37" s="217">
        <f t="shared" si="20"/>
        <v>0</v>
      </c>
      <c r="G37" s="217">
        <f t="shared" si="21"/>
        <v>0</v>
      </c>
      <c r="H37" s="217">
        <f t="shared" si="22"/>
        <v>0</v>
      </c>
      <c r="I37" s="217">
        <f t="shared" si="23"/>
        <v>0</v>
      </c>
      <c r="J37" s="217">
        <f t="shared" si="24"/>
        <v>0</v>
      </c>
      <c r="K37" s="217">
        <f t="shared" si="25"/>
        <v>0</v>
      </c>
      <c r="L37" s="217">
        <f t="shared" si="26"/>
        <v>0</v>
      </c>
      <c r="O37" s="246" t="s">
        <v>294</v>
      </c>
      <c r="P37" s="217">
        <f t="shared" si="27"/>
        <v>0</v>
      </c>
      <c r="Q37" s="217">
        <f t="shared" si="28"/>
        <v>0</v>
      </c>
      <c r="R37" s="217">
        <f t="shared" si="29"/>
        <v>0</v>
      </c>
      <c r="S37" s="217">
        <f t="shared" si="30"/>
        <v>0</v>
      </c>
      <c r="T37" s="217">
        <f t="shared" si="31"/>
        <v>0</v>
      </c>
      <c r="U37" s="217">
        <f t="shared" si="32"/>
        <v>0</v>
      </c>
      <c r="V37" s="217">
        <f t="shared" si="33"/>
        <v>0</v>
      </c>
    </row>
    <row r="38" spans="5:22" x14ac:dyDescent="0.3">
      <c r="E38" s="246" t="s">
        <v>295</v>
      </c>
      <c r="F38" s="217">
        <f t="shared" si="20"/>
        <v>0</v>
      </c>
      <c r="G38" s="217">
        <f t="shared" si="21"/>
        <v>0</v>
      </c>
      <c r="H38" s="217">
        <f t="shared" si="22"/>
        <v>0</v>
      </c>
      <c r="I38" s="217">
        <f t="shared" si="23"/>
        <v>0</v>
      </c>
      <c r="J38" s="217">
        <f t="shared" si="24"/>
        <v>0</v>
      </c>
      <c r="K38" s="217">
        <f t="shared" si="25"/>
        <v>0</v>
      </c>
      <c r="L38" s="217">
        <f t="shared" si="26"/>
        <v>0</v>
      </c>
      <c r="O38" s="246" t="s">
        <v>295</v>
      </c>
      <c r="P38" s="217">
        <f t="shared" si="27"/>
        <v>0</v>
      </c>
      <c r="Q38" s="217">
        <f t="shared" si="28"/>
        <v>0</v>
      </c>
      <c r="R38" s="217">
        <f t="shared" si="29"/>
        <v>0</v>
      </c>
      <c r="S38" s="217">
        <f t="shared" si="30"/>
        <v>0</v>
      </c>
      <c r="T38" s="217">
        <f t="shared" si="31"/>
        <v>0</v>
      </c>
      <c r="U38" s="217">
        <f t="shared" si="32"/>
        <v>0</v>
      </c>
      <c r="V38" s="217">
        <f t="shared" si="33"/>
        <v>0</v>
      </c>
    </row>
    <row r="39" spans="5:22" x14ac:dyDescent="0.3">
      <c r="E39" s="246" t="s">
        <v>296</v>
      </c>
      <c r="F39" s="217">
        <f t="shared" si="20"/>
        <v>0.32727272727272727</v>
      </c>
      <c r="G39" s="217">
        <f t="shared" si="21"/>
        <v>0</v>
      </c>
      <c r="H39" s="217">
        <f t="shared" si="22"/>
        <v>0</v>
      </c>
      <c r="I39" s="217">
        <f t="shared" si="23"/>
        <v>0</v>
      </c>
      <c r="J39" s="217">
        <f t="shared" si="24"/>
        <v>0</v>
      </c>
      <c r="K39" s="217">
        <f t="shared" si="25"/>
        <v>0</v>
      </c>
      <c r="L39" s="217">
        <f t="shared" si="26"/>
        <v>0</v>
      </c>
      <c r="O39" s="246" t="s">
        <v>296</v>
      </c>
      <c r="P39" s="217">
        <f t="shared" si="27"/>
        <v>1.4909090909090916</v>
      </c>
      <c r="Q39" s="217">
        <f t="shared" si="28"/>
        <v>0</v>
      </c>
      <c r="R39" s="217">
        <f t="shared" si="29"/>
        <v>0</v>
      </c>
      <c r="S39" s="217">
        <f t="shared" si="30"/>
        <v>0</v>
      </c>
      <c r="T39" s="217">
        <f t="shared" si="31"/>
        <v>0</v>
      </c>
      <c r="U39" s="217">
        <f t="shared" si="32"/>
        <v>0</v>
      </c>
      <c r="V39" s="217">
        <f t="shared" si="33"/>
        <v>0</v>
      </c>
    </row>
    <row r="40" spans="5:22" x14ac:dyDescent="0.3">
      <c r="E40" s="246" t="s">
        <v>297</v>
      </c>
      <c r="F40" s="217">
        <f t="shared" si="20"/>
        <v>0</v>
      </c>
      <c r="G40" s="217">
        <f t="shared" si="21"/>
        <v>0</v>
      </c>
      <c r="H40" s="217">
        <f t="shared" si="22"/>
        <v>0</v>
      </c>
      <c r="I40" s="217">
        <f t="shared" si="23"/>
        <v>0</v>
      </c>
      <c r="J40" s="217">
        <f t="shared" si="24"/>
        <v>0</v>
      </c>
      <c r="K40" s="217">
        <f t="shared" si="25"/>
        <v>0</v>
      </c>
      <c r="L40" s="217">
        <f t="shared" si="26"/>
        <v>0</v>
      </c>
      <c r="O40" s="246" t="s">
        <v>297</v>
      </c>
      <c r="P40" s="217">
        <f t="shared" si="27"/>
        <v>0</v>
      </c>
      <c r="Q40" s="217">
        <f t="shared" si="28"/>
        <v>0</v>
      </c>
      <c r="R40" s="217">
        <f t="shared" si="29"/>
        <v>0</v>
      </c>
      <c r="S40" s="217">
        <f t="shared" si="30"/>
        <v>0</v>
      </c>
      <c r="T40" s="217">
        <f t="shared" si="31"/>
        <v>0</v>
      </c>
      <c r="U40" s="217">
        <f t="shared" si="32"/>
        <v>0</v>
      </c>
      <c r="V40" s="217">
        <f t="shared" si="33"/>
        <v>0</v>
      </c>
    </row>
    <row r="41" spans="5:22" x14ac:dyDescent="0.3">
      <c r="E41" s="246" t="s">
        <v>298</v>
      </c>
      <c r="F41" s="217">
        <f t="shared" si="20"/>
        <v>0</v>
      </c>
      <c r="G41" s="217">
        <f t="shared" si="21"/>
        <v>0</v>
      </c>
      <c r="H41" s="217">
        <f t="shared" si="22"/>
        <v>0</v>
      </c>
      <c r="I41" s="217">
        <f t="shared" si="23"/>
        <v>0</v>
      </c>
      <c r="J41" s="217">
        <f t="shared" si="24"/>
        <v>0</v>
      </c>
      <c r="K41" s="217">
        <f t="shared" si="25"/>
        <v>0</v>
      </c>
      <c r="L41" s="217">
        <f t="shared" si="26"/>
        <v>0</v>
      </c>
      <c r="O41" s="246" t="s">
        <v>298</v>
      </c>
      <c r="P41" s="217">
        <f t="shared" si="27"/>
        <v>0</v>
      </c>
      <c r="Q41" s="217">
        <f t="shared" si="28"/>
        <v>0</v>
      </c>
      <c r="R41" s="217">
        <f t="shared" si="29"/>
        <v>0</v>
      </c>
      <c r="S41" s="217">
        <f t="shared" si="30"/>
        <v>0</v>
      </c>
      <c r="T41" s="217">
        <f t="shared" si="31"/>
        <v>0</v>
      </c>
      <c r="U41" s="217">
        <f t="shared" si="32"/>
        <v>0</v>
      </c>
      <c r="V41" s="217">
        <f t="shared" si="33"/>
        <v>0</v>
      </c>
    </row>
    <row r="42" spans="5:22" x14ac:dyDescent="0.3">
      <c r="E42" s="246" t="s">
        <v>299</v>
      </c>
      <c r="F42" s="217">
        <f t="shared" si="20"/>
        <v>0</v>
      </c>
      <c r="G42" s="217">
        <f t="shared" si="21"/>
        <v>0</v>
      </c>
      <c r="H42" s="217">
        <f t="shared" si="22"/>
        <v>0</v>
      </c>
      <c r="I42" s="217">
        <f t="shared" si="23"/>
        <v>0</v>
      </c>
      <c r="J42" s="217">
        <f t="shared" si="24"/>
        <v>0</v>
      </c>
      <c r="K42" s="217">
        <f t="shared" si="25"/>
        <v>0</v>
      </c>
      <c r="L42" s="217">
        <f t="shared" si="26"/>
        <v>0</v>
      </c>
      <c r="O42" s="246" t="s">
        <v>299</v>
      </c>
      <c r="P42" s="217">
        <f t="shared" si="27"/>
        <v>0</v>
      </c>
      <c r="Q42" s="217">
        <f t="shared" si="28"/>
        <v>0</v>
      </c>
      <c r="R42" s="217">
        <f t="shared" si="29"/>
        <v>1.100000000000001</v>
      </c>
      <c r="S42" s="217">
        <f t="shared" si="30"/>
        <v>0</v>
      </c>
      <c r="T42" s="217">
        <f t="shared" si="31"/>
        <v>0</v>
      </c>
      <c r="U42" s="217">
        <f t="shared" si="32"/>
        <v>0</v>
      </c>
      <c r="V42" s="217">
        <f t="shared" si="33"/>
        <v>0</v>
      </c>
    </row>
    <row r="43" spans="5:22" x14ac:dyDescent="0.3">
      <c r="E43" s="246" t="s">
        <v>300</v>
      </c>
      <c r="F43" s="217">
        <f t="shared" si="20"/>
        <v>0</v>
      </c>
      <c r="G43" s="217">
        <f t="shared" si="21"/>
        <v>0</v>
      </c>
      <c r="H43" s="217">
        <f t="shared" si="22"/>
        <v>0</v>
      </c>
      <c r="I43" s="217">
        <f t="shared" si="23"/>
        <v>0</v>
      </c>
      <c r="J43" s="217">
        <f t="shared" si="24"/>
        <v>0</v>
      </c>
      <c r="K43" s="217">
        <f t="shared" si="25"/>
        <v>0</v>
      </c>
      <c r="L43" s="217">
        <f t="shared" si="26"/>
        <v>0</v>
      </c>
      <c r="O43" s="246" t="s">
        <v>300</v>
      </c>
      <c r="P43" s="217">
        <f t="shared" si="27"/>
        <v>0</v>
      </c>
      <c r="Q43" s="217">
        <f t="shared" si="28"/>
        <v>0</v>
      </c>
      <c r="R43" s="217">
        <f t="shared" si="29"/>
        <v>0</v>
      </c>
      <c r="S43" s="217">
        <f t="shared" si="30"/>
        <v>0</v>
      </c>
      <c r="T43" s="217">
        <f t="shared" si="31"/>
        <v>0</v>
      </c>
      <c r="U43" s="217">
        <f t="shared" si="32"/>
        <v>0</v>
      </c>
      <c r="V43" s="217">
        <f t="shared" si="33"/>
        <v>0</v>
      </c>
    </row>
    <row r="44" spans="5:22" x14ac:dyDescent="0.3">
      <c r="E44" s="59" t="s">
        <v>302</v>
      </c>
      <c r="F44" s="218">
        <f>SUM(F31:F43)</f>
        <v>0.32727272727272727</v>
      </c>
      <c r="G44" s="218">
        <f t="shared" ref="G44:L44" si="34">SUM(G31:G43)</f>
        <v>0.14727272727272728</v>
      </c>
      <c r="H44" s="218">
        <f t="shared" si="34"/>
        <v>0</v>
      </c>
      <c r="I44" s="218">
        <f t="shared" si="34"/>
        <v>3.24</v>
      </c>
      <c r="J44" s="218">
        <f t="shared" si="34"/>
        <v>0</v>
      </c>
      <c r="K44" s="218">
        <f t="shared" si="34"/>
        <v>0.73636363636363633</v>
      </c>
      <c r="L44" s="218">
        <f t="shared" si="34"/>
        <v>0</v>
      </c>
      <c r="O44" s="59" t="s">
        <v>303</v>
      </c>
      <c r="P44" s="218">
        <f>SUM(P31:P43)</f>
        <v>1.4909090909090916</v>
      </c>
      <c r="Q44" s="218">
        <f t="shared" ref="Q44:V44" si="35">SUM(Q31:Q43)</f>
        <v>0.83636363636363642</v>
      </c>
      <c r="R44" s="218">
        <f t="shared" si="35"/>
        <v>1.100000000000001</v>
      </c>
      <c r="S44" s="218">
        <f t="shared" si="35"/>
        <v>18.400000000000002</v>
      </c>
      <c r="T44" s="218">
        <f t="shared" si="35"/>
        <v>0</v>
      </c>
      <c r="U44" s="218">
        <f t="shared" si="35"/>
        <v>4.1818181818181817</v>
      </c>
      <c r="V44" s="218">
        <f t="shared" si="35"/>
        <v>0</v>
      </c>
    </row>
    <row r="46" spans="5:22" x14ac:dyDescent="0.3">
      <c r="E46" s="34" t="s">
        <v>304</v>
      </c>
      <c r="F46" s="19"/>
      <c r="G46" s="19"/>
      <c r="H46" s="19"/>
      <c r="I46" s="19"/>
      <c r="J46" s="19"/>
      <c r="K46" s="19"/>
      <c r="L46" s="19"/>
      <c r="O46" s="34" t="s">
        <v>305</v>
      </c>
      <c r="P46" s="19"/>
      <c r="Q46" s="19"/>
      <c r="R46" s="19"/>
      <c r="S46" s="19"/>
      <c r="T46" s="19"/>
      <c r="U46" s="19"/>
      <c r="V46" s="19"/>
    </row>
    <row r="47" spans="5:22" x14ac:dyDescent="0.3">
      <c r="E47" s="2"/>
      <c r="F47" s="19"/>
      <c r="G47" s="19"/>
      <c r="H47" s="19"/>
      <c r="I47" s="19"/>
      <c r="J47" s="19"/>
      <c r="K47" s="19"/>
      <c r="L47" s="19"/>
      <c r="O47" s="2"/>
      <c r="P47" s="19"/>
      <c r="Q47" s="19"/>
      <c r="R47" s="19"/>
      <c r="S47" s="19"/>
      <c r="T47" s="19"/>
      <c r="U47" s="19"/>
      <c r="V47" s="19"/>
    </row>
    <row r="48" spans="5:22" x14ac:dyDescent="0.3">
      <c r="E48" s="245" t="s">
        <v>287</v>
      </c>
      <c r="F48" s="213" t="str">
        <f>F30</f>
        <v>Microônibus - Sem Ar</v>
      </c>
      <c r="G48" s="213" t="str">
        <f t="shared" ref="G48:L48" si="36">G30</f>
        <v>Microônibus - Com Ar</v>
      </c>
      <c r="H48" s="213" t="str">
        <f t="shared" si="36"/>
        <v>Midiônibus - Sem Ar</v>
      </c>
      <c r="I48" s="213" t="str">
        <f t="shared" si="36"/>
        <v>Midiônibus - Com Ar</v>
      </c>
      <c r="J48" s="213" t="str">
        <f t="shared" si="36"/>
        <v>Básico - Sem Ar</v>
      </c>
      <c r="K48" s="213" t="str">
        <f t="shared" si="36"/>
        <v>Básico - Com Ar</v>
      </c>
      <c r="L48" s="213" t="str">
        <f t="shared" si="36"/>
        <v>Ônibus Padron</v>
      </c>
      <c r="O48" s="245" t="s">
        <v>287</v>
      </c>
      <c r="P48" s="213" t="str">
        <f t="shared" ref="P48:V48" si="37">P30</f>
        <v>Microônibus - Sem Ar</v>
      </c>
      <c r="Q48" s="213" t="str">
        <f t="shared" si="37"/>
        <v>Microônibus - Com Ar</v>
      </c>
      <c r="R48" s="213" t="str">
        <f t="shared" si="37"/>
        <v>Midiônibus - Sem Ar</v>
      </c>
      <c r="S48" s="213" t="str">
        <f t="shared" si="37"/>
        <v>Midiônibus - Com Ar</v>
      </c>
      <c r="T48" s="213" t="str">
        <f t="shared" si="37"/>
        <v>Básico - Sem Ar</v>
      </c>
      <c r="U48" s="213" t="str">
        <f t="shared" si="37"/>
        <v>Básico - Com Ar</v>
      </c>
      <c r="V48" s="213" t="str">
        <f t="shared" si="37"/>
        <v>Ônibus Padron</v>
      </c>
    </row>
    <row r="49" spans="5:22" x14ac:dyDescent="0.3">
      <c r="E49" s="246" t="s">
        <v>288</v>
      </c>
      <c r="F49" s="219">
        <f>F31*F$9</f>
        <v>0</v>
      </c>
      <c r="G49" s="219">
        <f t="shared" ref="G49:L49" si="38">G31*G$9</f>
        <v>0</v>
      </c>
      <c r="H49" s="219">
        <f t="shared" si="38"/>
        <v>0</v>
      </c>
      <c r="I49" s="219">
        <f t="shared" si="38"/>
        <v>0</v>
      </c>
      <c r="J49" s="219">
        <f t="shared" si="38"/>
        <v>0</v>
      </c>
      <c r="K49" s="219">
        <f t="shared" si="38"/>
        <v>0</v>
      </c>
      <c r="L49" s="219">
        <f t="shared" si="38"/>
        <v>0</v>
      </c>
      <c r="O49" s="246" t="s">
        <v>288</v>
      </c>
      <c r="P49" s="219">
        <f t="shared" ref="P49:V49" si="39">P31*P$9*P$7</f>
        <v>0</v>
      </c>
      <c r="Q49" s="219">
        <f t="shared" si="39"/>
        <v>0</v>
      </c>
      <c r="R49" s="219">
        <f t="shared" si="39"/>
        <v>0</v>
      </c>
      <c r="S49" s="219">
        <f t="shared" si="39"/>
        <v>0</v>
      </c>
      <c r="T49" s="219">
        <f t="shared" si="39"/>
        <v>0</v>
      </c>
      <c r="U49" s="219">
        <f t="shared" si="39"/>
        <v>0</v>
      </c>
      <c r="V49" s="219">
        <f t="shared" si="39"/>
        <v>0</v>
      </c>
    </row>
    <row r="50" spans="5:22" x14ac:dyDescent="0.3">
      <c r="E50" s="246" t="s">
        <v>289</v>
      </c>
      <c r="F50" s="219">
        <f t="shared" ref="F50:L50" si="40">F32*F$9</f>
        <v>0</v>
      </c>
      <c r="G50" s="219">
        <f t="shared" si="40"/>
        <v>75941.597127272733</v>
      </c>
      <c r="H50" s="219">
        <f t="shared" si="40"/>
        <v>0</v>
      </c>
      <c r="I50" s="219">
        <f t="shared" si="40"/>
        <v>2355184.5767999999</v>
      </c>
      <c r="J50" s="219">
        <f t="shared" si="40"/>
        <v>0</v>
      </c>
      <c r="K50" s="219">
        <f t="shared" si="40"/>
        <v>567742.8583636363</v>
      </c>
      <c r="L50" s="219">
        <f t="shared" si="40"/>
        <v>0</v>
      </c>
      <c r="O50" s="246" t="s">
        <v>289</v>
      </c>
      <c r="P50" s="219">
        <f t="shared" ref="P50:V50" si="41">P32*P$9*P$7</f>
        <v>0</v>
      </c>
      <c r="Q50" s="219">
        <f t="shared" si="41"/>
        <v>45719.385781818186</v>
      </c>
      <c r="R50" s="219">
        <f t="shared" si="41"/>
        <v>0</v>
      </c>
      <c r="S50" s="219">
        <f t="shared" si="41"/>
        <v>1417961.4863472001</v>
      </c>
      <c r="T50" s="219">
        <f t="shared" si="41"/>
        <v>0</v>
      </c>
      <c r="U50" s="219">
        <f t="shared" si="41"/>
        <v>341539.54695163632</v>
      </c>
      <c r="V50" s="219">
        <f t="shared" si="41"/>
        <v>0</v>
      </c>
    </row>
    <row r="51" spans="5:22" x14ac:dyDescent="0.3">
      <c r="E51" s="246" t="s">
        <v>290</v>
      </c>
      <c r="F51" s="219">
        <f t="shared" ref="F51:L51" si="42">F33*F$9</f>
        <v>0</v>
      </c>
      <c r="G51" s="219">
        <f t="shared" si="42"/>
        <v>0</v>
      </c>
      <c r="H51" s="219">
        <f t="shared" si="42"/>
        <v>0</v>
      </c>
      <c r="I51" s="219">
        <f t="shared" si="42"/>
        <v>0</v>
      </c>
      <c r="J51" s="219">
        <f t="shared" si="42"/>
        <v>0</v>
      </c>
      <c r="K51" s="219">
        <f t="shared" si="42"/>
        <v>0</v>
      </c>
      <c r="L51" s="219">
        <f t="shared" si="42"/>
        <v>0</v>
      </c>
      <c r="O51" s="246" t="s">
        <v>290</v>
      </c>
      <c r="P51" s="219">
        <f t="shared" ref="P51:V51" si="43">P33*P$9*P$7</f>
        <v>0</v>
      </c>
      <c r="Q51" s="219">
        <f t="shared" si="43"/>
        <v>0</v>
      </c>
      <c r="R51" s="219">
        <f t="shared" si="43"/>
        <v>0</v>
      </c>
      <c r="S51" s="219">
        <f t="shared" si="43"/>
        <v>0</v>
      </c>
      <c r="T51" s="219">
        <f t="shared" si="43"/>
        <v>0</v>
      </c>
      <c r="U51" s="219">
        <f t="shared" si="43"/>
        <v>0</v>
      </c>
      <c r="V51" s="219">
        <f t="shared" si="43"/>
        <v>0</v>
      </c>
    </row>
    <row r="52" spans="5:22" x14ac:dyDescent="0.3">
      <c r="E52" s="246" t="s">
        <v>291</v>
      </c>
      <c r="F52" s="219">
        <f t="shared" ref="F52:L52" si="44">F34*F$9</f>
        <v>0</v>
      </c>
      <c r="G52" s="219">
        <f t="shared" si="44"/>
        <v>0</v>
      </c>
      <c r="H52" s="219">
        <f t="shared" si="44"/>
        <v>0</v>
      </c>
      <c r="I52" s="219">
        <f t="shared" si="44"/>
        <v>0</v>
      </c>
      <c r="J52" s="219">
        <f t="shared" si="44"/>
        <v>0</v>
      </c>
      <c r="K52" s="219">
        <f t="shared" si="44"/>
        <v>0</v>
      </c>
      <c r="L52" s="219">
        <f t="shared" si="44"/>
        <v>0</v>
      </c>
      <c r="O52" s="246" t="s">
        <v>291</v>
      </c>
      <c r="P52" s="219">
        <f t="shared" ref="P52:V52" si="45">P34*P$9*P$7</f>
        <v>0</v>
      </c>
      <c r="Q52" s="219">
        <f t="shared" si="45"/>
        <v>0</v>
      </c>
      <c r="R52" s="219">
        <f t="shared" si="45"/>
        <v>0</v>
      </c>
      <c r="S52" s="219">
        <f t="shared" si="45"/>
        <v>0</v>
      </c>
      <c r="T52" s="219">
        <f t="shared" si="45"/>
        <v>0</v>
      </c>
      <c r="U52" s="219">
        <f t="shared" si="45"/>
        <v>0</v>
      </c>
      <c r="V52" s="219">
        <f t="shared" si="45"/>
        <v>0</v>
      </c>
    </row>
    <row r="53" spans="5:22" x14ac:dyDescent="0.3">
      <c r="E53" s="246" t="s">
        <v>292</v>
      </c>
      <c r="F53" s="219">
        <f t="shared" ref="F53:L53" si="46">F35*F$9</f>
        <v>0</v>
      </c>
      <c r="G53" s="219">
        <f t="shared" si="46"/>
        <v>0</v>
      </c>
      <c r="H53" s="219">
        <f t="shared" si="46"/>
        <v>0</v>
      </c>
      <c r="I53" s="219">
        <f t="shared" si="46"/>
        <v>0</v>
      </c>
      <c r="J53" s="219">
        <f t="shared" si="46"/>
        <v>0</v>
      </c>
      <c r="K53" s="219">
        <f t="shared" si="46"/>
        <v>0</v>
      </c>
      <c r="L53" s="219">
        <f t="shared" si="46"/>
        <v>0</v>
      </c>
      <c r="O53" s="246" t="s">
        <v>292</v>
      </c>
      <c r="P53" s="219">
        <f t="shared" ref="P53:V53" si="47">P35*P$9*P$7</f>
        <v>0</v>
      </c>
      <c r="Q53" s="219">
        <f t="shared" si="47"/>
        <v>0</v>
      </c>
      <c r="R53" s="219">
        <f t="shared" si="47"/>
        <v>0</v>
      </c>
      <c r="S53" s="219">
        <f t="shared" si="47"/>
        <v>0</v>
      </c>
      <c r="T53" s="219">
        <f t="shared" si="47"/>
        <v>0</v>
      </c>
      <c r="U53" s="219">
        <f t="shared" si="47"/>
        <v>0</v>
      </c>
      <c r="V53" s="219">
        <f t="shared" si="47"/>
        <v>0</v>
      </c>
    </row>
    <row r="54" spans="5:22" x14ac:dyDescent="0.3">
      <c r="E54" s="246" t="s">
        <v>293</v>
      </c>
      <c r="F54" s="219">
        <f t="shared" ref="F54:L54" si="48">F36*F$9</f>
        <v>0</v>
      </c>
      <c r="G54" s="219">
        <f t="shared" si="48"/>
        <v>0</v>
      </c>
      <c r="H54" s="219">
        <f t="shared" si="48"/>
        <v>0</v>
      </c>
      <c r="I54" s="219">
        <f t="shared" si="48"/>
        <v>0</v>
      </c>
      <c r="J54" s="219">
        <f t="shared" si="48"/>
        <v>0</v>
      </c>
      <c r="K54" s="219">
        <f t="shared" si="48"/>
        <v>0</v>
      </c>
      <c r="L54" s="219">
        <f t="shared" si="48"/>
        <v>0</v>
      </c>
      <c r="O54" s="246" t="s">
        <v>293</v>
      </c>
      <c r="P54" s="219">
        <f>P36*P$9*P$7</f>
        <v>0</v>
      </c>
      <c r="Q54" s="219">
        <f t="shared" ref="Q54:V54" si="49">Q36*Q$9*Q$7</f>
        <v>0</v>
      </c>
      <c r="R54" s="219">
        <f t="shared" si="49"/>
        <v>0</v>
      </c>
      <c r="S54" s="219">
        <f t="shared" si="49"/>
        <v>0</v>
      </c>
      <c r="T54" s="219">
        <f t="shared" si="49"/>
        <v>0</v>
      </c>
      <c r="U54" s="219">
        <f t="shared" si="49"/>
        <v>0</v>
      </c>
      <c r="V54" s="219">
        <f t="shared" si="49"/>
        <v>0</v>
      </c>
    </row>
    <row r="55" spans="5:22" x14ac:dyDescent="0.3">
      <c r="E55" s="246" t="s">
        <v>294</v>
      </c>
      <c r="F55" s="219">
        <f t="shared" ref="F55:L55" si="50">F37*F$9</f>
        <v>0</v>
      </c>
      <c r="G55" s="219">
        <f t="shared" si="50"/>
        <v>0</v>
      </c>
      <c r="H55" s="219">
        <f t="shared" si="50"/>
        <v>0</v>
      </c>
      <c r="I55" s="219">
        <f t="shared" si="50"/>
        <v>0</v>
      </c>
      <c r="J55" s="219">
        <f t="shared" si="50"/>
        <v>0</v>
      </c>
      <c r="K55" s="219">
        <f t="shared" si="50"/>
        <v>0</v>
      </c>
      <c r="L55" s="219">
        <f t="shared" si="50"/>
        <v>0</v>
      </c>
      <c r="O55" s="246" t="s">
        <v>294</v>
      </c>
      <c r="P55" s="219">
        <f t="shared" ref="P55:V55" si="51">P37*P$9*P$7</f>
        <v>0</v>
      </c>
      <c r="Q55" s="219">
        <f t="shared" si="51"/>
        <v>0</v>
      </c>
      <c r="R55" s="219">
        <f t="shared" si="51"/>
        <v>0</v>
      </c>
      <c r="S55" s="219">
        <f t="shared" si="51"/>
        <v>0</v>
      </c>
      <c r="T55" s="219">
        <f t="shared" si="51"/>
        <v>0</v>
      </c>
      <c r="U55" s="219">
        <f t="shared" si="51"/>
        <v>0</v>
      </c>
      <c r="V55" s="219">
        <f t="shared" si="51"/>
        <v>0</v>
      </c>
    </row>
    <row r="56" spans="5:22" x14ac:dyDescent="0.3">
      <c r="E56" s="246" t="s">
        <v>295</v>
      </c>
      <c r="F56" s="219">
        <f t="shared" ref="F56:L56" si="52">F38*F$9</f>
        <v>0</v>
      </c>
      <c r="G56" s="219">
        <f t="shared" si="52"/>
        <v>0</v>
      </c>
      <c r="H56" s="219">
        <f t="shared" si="52"/>
        <v>0</v>
      </c>
      <c r="I56" s="219">
        <f t="shared" si="52"/>
        <v>0</v>
      </c>
      <c r="J56" s="219">
        <f t="shared" si="52"/>
        <v>0</v>
      </c>
      <c r="K56" s="219">
        <f t="shared" si="52"/>
        <v>0</v>
      </c>
      <c r="L56" s="219">
        <f t="shared" si="52"/>
        <v>0</v>
      </c>
      <c r="O56" s="246" t="s">
        <v>295</v>
      </c>
      <c r="P56" s="219">
        <f t="shared" ref="P56:V56" si="53">P38*P$9*P$7</f>
        <v>0</v>
      </c>
      <c r="Q56" s="219">
        <f t="shared" si="53"/>
        <v>0</v>
      </c>
      <c r="R56" s="219">
        <f t="shared" si="53"/>
        <v>0</v>
      </c>
      <c r="S56" s="219">
        <f t="shared" si="53"/>
        <v>0</v>
      </c>
      <c r="T56" s="219">
        <f t="shared" si="53"/>
        <v>0</v>
      </c>
      <c r="U56" s="219">
        <f t="shared" si="53"/>
        <v>0</v>
      </c>
      <c r="V56" s="219">
        <f t="shared" si="53"/>
        <v>0</v>
      </c>
    </row>
    <row r="57" spans="5:22" x14ac:dyDescent="0.3">
      <c r="E57" s="246" t="s">
        <v>296</v>
      </c>
      <c r="F57" s="219">
        <f t="shared" ref="F57:L57" si="54">F39*F$9</f>
        <v>149777.28654545455</v>
      </c>
      <c r="G57" s="219">
        <f t="shared" si="54"/>
        <v>0</v>
      </c>
      <c r="H57" s="219">
        <f t="shared" si="54"/>
        <v>0</v>
      </c>
      <c r="I57" s="219">
        <f t="shared" si="54"/>
        <v>0</v>
      </c>
      <c r="J57" s="219">
        <f t="shared" si="54"/>
        <v>0</v>
      </c>
      <c r="K57" s="219">
        <f t="shared" si="54"/>
        <v>0</v>
      </c>
      <c r="L57" s="219">
        <f t="shared" si="54"/>
        <v>0</v>
      </c>
      <c r="O57" s="246" t="s">
        <v>296</v>
      </c>
      <c r="P57" s="219">
        <f t="shared" ref="P57:V57" si="55">P39*P$9*P$7</f>
        <v>72461.558727272772</v>
      </c>
      <c r="Q57" s="219">
        <f t="shared" si="55"/>
        <v>0</v>
      </c>
      <c r="R57" s="219">
        <f t="shared" si="55"/>
        <v>0</v>
      </c>
      <c r="S57" s="219">
        <f t="shared" si="55"/>
        <v>0</v>
      </c>
      <c r="T57" s="219">
        <f t="shared" si="55"/>
        <v>0</v>
      </c>
      <c r="U57" s="219">
        <f t="shared" si="55"/>
        <v>0</v>
      </c>
      <c r="V57" s="219">
        <f t="shared" si="55"/>
        <v>0</v>
      </c>
    </row>
    <row r="58" spans="5:22" x14ac:dyDescent="0.3">
      <c r="E58" s="246" t="s">
        <v>297</v>
      </c>
      <c r="F58" s="219">
        <f t="shared" ref="F58:L58" si="56">F40*F$9</f>
        <v>0</v>
      </c>
      <c r="G58" s="219">
        <f t="shared" si="56"/>
        <v>0</v>
      </c>
      <c r="H58" s="219">
        <f t="shared" si="56"/>
        <v>0</v>
      </c>
      <c r="I58" s="219">
        <f t="shared" si="56"/>
        <v>0</v>
      </c>
      <c r="J58" s="219">
        <f t="shared" si="56"/>
        <v>0</v>
      </c>
      <c r="K58" s="219">
        <f t="shared" si="56"/>
        <v>0</v>
      </c>
      <c r="L58" s="219">
        <f t="shared" si="56"/>
        <v>0</v>
      </c>
      <c r="O58" s="246" t="s">
        <v>297</v>
      </c>
      <c r="P58" s="219">
        <f t="shared" ref="P58:V58" si="57">P40*P$9*P$7</f>
        <v>0</v>
      </c>
      <c r="Q58" s="219">
        <f t="shared" si="57"/>
        <v>0</v>
      </c>
      <c r="R58" s="219">
        <f t="shared" si="57"/>
        <v>0</v>
      </c>
      <c r="S58" s="219">
        <f t="shared" si="57"/>
        <v>0</v>
      </c>
      <c r="T58" s="219">
        <f t="shared" si="57"/>
        <v>0</v>
      </c>
      <c r="U58" s="219">
        <f t="shared" si="57"/>
        <v>0</v>
      </c>
      <c r="V58" s="219">
        <f t="shared" si="57"/>
        <v>0</v>
      </c>
    </row>
    <row r="59" spans="5:22" x14ac:dyDescent="0.3">
      <c r="E59" s="246" t="s">
        <v>298</v>
      </c>
      <c r="F59" s="219">
        <f t="shared" ref="F59:L59" si="58">F41*F$9</f>
        <v>0</v>
      </c>
      <c r="G59" s="219">
        <f t="shared" si="58"/>
        <v>0</v>
      </c>
      <c r="H59" s="219">
        <f t="shared" si="58"/>
        <v>0</v>
      </c>
      <c r="I59" s="219">
        <f t="shared" si="58"/>
        <v>0</v>
      </c>
      <c r="J59" s="219">
        <f t="shared" si="58"/>
        <v>0</v>
      </c>
      <c r="K59" s="219">
        <f t="shared" si="58"/>
        <v>0</v>
      </c>
      <c r="L59" s="219">
        <f t="shared" si="58"/>
        <v>0</v>
      </c>
      <c r="O59" s="246" t="s">
        <v>298</v>
      </c>
      <c r="P59" s="219">
        <f t="shared" ref="P59:V59" si="59">P41*P$9*P$7</f>
        <v>0</v>
      </c>
      <c r="Q59" s="219">
        <f t="shared" si="59"/>
        <v>0</v>
      </c>
      <c r="R59" s="219">
        <f t="shared" si="59"/>
        <v>0</v>
      </c>
      <c r="S59" s="219">
        <f t="shared" si="59"/>
        <v>0</v>
      </c>
      <c r="T59" s="219">
        <f t="shared" si="59"/>
        <v>0</v>
      </c>
      <c r="U59" s="219">
        <f t="shared" si="59"/>
        <v>0</v>
      </c>
      <c r="V59" s="219">
        <f t="shared" si="59"/>
        <v>0</v>
      </c>
    </row>
    <row r="60" spans="5:22" x14ac:dyDescent="0.3">
      <c r="E60" s="246" t="s">
        <v>299</v>
      </c>
      <c r="F60" s="219">
        <f t="shared" ref="F60:L60" si="60">F42*F$9</f>
        <v>0</v>
      </c>
      <c r="G60" s="219">
        <f t="shared" si="60"/>
        <v>0</v>
      </c>
      <c r="H60" s="219">
        <f t="shared" si="60"/>
        <v>0</v>
      </c>
      <c r="I60" s="219">
        <f t="shared" si="60"/>
        <v>0</v>
      </c>
      <c r="J60" s="219">
        <f t="shared" si="60"/>
        <v>0</v>
      </c>
      <c r="K60" s="219">
        <f t="shared" si="60"/>
        <v>0</v>
      </c>
      <c r="L60" s="219">
        <f t="shared" si="60"/>
        <v>0</v>
      </c>
      <c r="O60" s="246" t="s">
        <v>299</v>
      </c>
      <c r="P60" s="219">
        <f t="shared" ref="P60:V60" si="61">P42*P$9*P$7</f>
        <v>0</v>
      </c>
      <c r="Q60" s="219">
        <f t="shared" si="61"/>
        <v>0</v>
      </c>
      <c r="R60" s="219">
        <f t="shared" si="61"/>
        <v>79595.647183800073</v>
      </c>
      <c r="S60" s="219">
        <f t="shared" si="61"/>
        <v>0</v>
      </c>
      <c r="T60" s="219">
        <f t="shared" si="61"/>
        <v>0</v>
      </c>
      <c r="U60" s="219">
        <f t="shared" si="61"/>
        <v>0</v>
      </c>
      <c r="V60" s="219">
        <f t="shared" si="61"/>
        <v>0</v>
      </c>
    </row>
    <row r="61" spans="5:22" x14ac:dyDescent="0.3">
      <c r="E61" s="246" t="s">
        <v>300</v>
      </c>
      <c r="F61" s="219">
        <f t="shared" ref="F61:L61" si="62">F43*F$9</f>
        <v>0</v>
      </c>
      <c r="G61" s="219">
        <f t="shared" si="62"/>
        <v>0</v>
      </c>
      <c r="H61" s="219">
        <f t="shared" si="62"/>
        <v>0</v>
      </c>
      <c r="I61" s="219">
        <f t="shared" si="62"/>
        <v>0</v>
      </c>
      <c r="J61" s="219">
        <f t="shared" si="62"/>
        <v>0</v>
      </c>
      <c r="K61" s="219">
        <f t="shared" si="62"/>
        <v>0</v>
      </c>
      <c r="L61" s="219">
        <f t="shared" si="62"/>
        <v>0</v>
      </c>
      <c r="O61" s="246" t="s">
        <v>300</v>
      </c>
      <c r="P61" s="219">
        <f t="shared" ref="P61:V61" si="63">P43*P$9*P$7</f>
        <v>0</v>
      </c>
      <c r="Q61" s="219">
        <f t="shared" si="63"/>
        <v>0</v>
      </c>
      <c r="R61" s="219">
        <f t="shared" si="63"/>
        <v>0</v>
      </c>
      <c r="S61" s="219">
        <f t="shared" si="63"/>
        <v>0</v>
      </c>
      <c r="T61" s="219">
        <f t="shared" si="63"/>
        <v>0</v>
      </c>
      <c r="U61" s="219">
        <f t="shared" si="63"/>
        <v>0</v>
      </c>
      <c r="V61" s="219">
        <f t="shared" si="63"/>
        <v>0</v>
      </c>
    </row>
    <row r="62" spans="5:22" x14ac:dyDescent="0.3">
      <c r="E62" s="220" t="s">
        <v>306</v>
      </c>
      <c r="F62" s="221">
        <f>SUM(F49:F61)</f>
        <v>149777.28654545455</v>
      </c>
      <c r="G62" s="221">
        <f t="shared" ref="G62:L62" si="64">SUM(G49:G61)</f>
        <v>75941.597127272733</v>
      </c>
      <c r="H62" s="221">
        <f t="shared" si="64"/>
        <v>0</v>
      </c>
      <c r="I62" s="221">
        <f t="shared" si="64"/>
        <v>2355184.5767999999</v>
      </c>
      <c r="J62" s="221">
        <f t="shared" si="64"/>
        <v>0</v>
      </c>
      <c r="K62" s="221">
        <f t="shared" si="64"/>
        <v>567742.8583636363</v>
      </c>
      <c r="L62" s="221">
        <f t="shared" si="64"/>
        <v>0</v>
      </c>
      <c r="O62" s="220" t="s">
        <v>307</v>
      </c>
      <c r="P62" s="221">
        <f>SUM(P49:P61)</f>
        <v>72461.558727272772</v>
      </c>
      <c r="Q62" s="221">
        <f t="shared" ref="Q62:V62" si="65">SUM(Q49:Q61)</f>
        <v>45719.385781818186</v>
      </c>
      <c r="R62" s="221">
        <f t="shared" si="65"/>
        <v>79595.647183800073</v>
      </c>
      <c r="S62" s="221">
        <f t="shared" si="65"/>
        <v>1417961.4863472001</v>
      </c>
      <c r="T62" s="221">
        <f t="shared" si="65"/>
        <v>0</v>
      </c>
      <c r="U62" s="221">
        <f t="shared" si="65"/>
        <v>341539.54695163632</v>
      </c>
      <c r="V62" s="221">
        <f t="shared" si="65"/>
        <v>0</v>
      </c>
    </row>
    <row r="63" spans="5:22" x14ac:dyDescent="0.3">
      <c r="E63" s="220" t="s">
        <v>308</v>
      </c>
      <c r="F63" s="129">
        <f>IFERROR(F62/Y27,0)</f>
        <v>14977.728654545455</v>
      </c>
      <c r="G63" s="129">
        <f t="shared" ref="G63:L63" si="66">IFERROR(G62/Z27,0)</f>
        <v>75941.597127272733</v>
      </c>
      <c r="H63" s="129">
        <f t="shared" si="66"/>
        <v>0</v>
      </c>
      <c r="I63" s="129">
        <f t="shared" si="66"/>
        <v>107053.8444</v>
      </c>
      <c r="J63" s="129">
        <f t="shared" si="66"/>
        <v>0</v>
      </c>
      <c r="K63" s="129">
        <f t="shared" si="66"/>
        <v>113548.57167272727</v>
      </c>
      <c r="L63" s="129">
        <f t="shared" si="66"/>
        <v>0</v>
      </c>
      <c r="O63" s="220" t="s">
        <v>308</v>
      </c>
      <c r="P63" s="221">
        <f>IFERROR(P62/Y27,0)</f>
        <v>7246.1558727272768</v>
      </c>
      <c r="Q63" s="221">
        <f t="shared" ref="Q63:V63" si="67">IFERROR(Q62/Z27,0)</f>
        <v>45719.385781818186</v>
      </c>
      <c r="R63" s="221">
        <f t="shared" si="67"/>
        <v>7235.9679258000069</v>
      </c>
      <c r="S63" s="221">
        <f t="shared" si="67"/>
        <v>64452.794833963642</v>
      </c>
      <c r="T63" s="221">
        <f t="shared" si="67"/>
        <v>0</v>
      </c>
      <c r="U63" s="221">
        <f t="shared" si="67"/>
        <v>68307.909390327259</v>
      </c>
      <c r="V63" s="221">
        <f t="shared" si="67"/>
        <v>0</v>
      </c>
    </row>
    <row r="64" spans="5:22" x14ac:dyDescent="0.3">
      <c r="O64" s="222"/>
      <c r="P64" s="223"/>
      <c r="Q64" s="223"/>
      <c r="R64" s="223"/>
      <c r="S64" s="223"/>
      <c r="T64" s="223"/>
      <c r="U64" s="223"/>
      <c r="V64" s="223"/>
    </row>
    <row r="66" spans="5:22" x14ac:dyDescent="0.3">
      <c r="E66" s="34" t="s">
        <v>309</v>
      </c>
      <c r="F66" s="19"/>
      <c r="G66" s="19"/>
      <c r="H66" s="19"/>
      <c r="I66" s="19"/>
      <c r="J66" s="19"/>
      <c r="K66" s="19"/>
      <c r="L66" s="19"/>
      <c r="O66" s="34" t="s">
        <v>305</v>
      </c>
      <c r="P66" s="19"/>
      <c r="Q66" s="19"/>
      <c r="R66" s="19"/>
      <c r="S66" s="19"/>
      <c r="T66" s="19"/>
      <c r="U66" s="19"/>
      <c r="V66" s="19"/>
    </row>
    <row r="67" spans="5:22" x14ac:dyDescent="0.3">
      <c r="E67" s="2"/>
      <c r="F67" s="19"/>
      <c r="G67" s="19"/>
      <c r="H67" s="19"/>
      <c r="I67" s="19"/>
      <c r="J67" s="19"/>
      <c r="K67" s="19"/>
      <c r="L67" s="19"/>
      <c r="O67" s="2"/>
      <c r="P67" s="19"/>
      <c r="Q67" s="19"/>
      <c r="R67" s="19"/>
      <c r="S67" s="19"/>
      <c r="T67" s="19"/>
      <c r="U67" s="19"/>
      <c r="V67" s="19"/>
    </row>
    <row r="68" spans="5:22" x14ac:dyDescent="0.3">
      <c r="E68" s="245" t="s">
        <v>287</v>
      </c>
      <c r="F68" s="213" t="str">
        <f>F48</f>
        <v>Microônibus - Sem Ar</v>
      </c>
      <c r="G68" s="213" t="str">
        <f t="shared" ref="G68:L68" si="68">G48</f>
        <v>Microônibus - Com Ar</v>
      </c>
      <c r="H68" s="213" t="str">
        <f t="shared" si="68"/>
        <v>Midiônibus - Sem Ar</v>
      </c>
      <c r="I68" s="213" t="str">
        <f t="shared" si="68"/>
        <v>Midiônibus - Com Ar</v>
      </c>
      <c r="J68" s="213" t="str">
        <f t="shared" si="68"/>
        <v>Básico - Sem Ar</v>
      </c>
      <c r="K68" s="213" t="str">
        <f t="shared" si="68"/>
        <v>Básico - Com Ar</v>
      </c>
      <c r="L68" s="213" t="str">
        <f t="shared" si="68"/>
        <v>Ônibus Padron</v>
      </c>
      <c r="O68" s="245" t="s">
        <v>287</v>
      </c>
      <c r="P68" s="213" t="str">
        <f>P48</f>
        <v>Microônibus - Sem Ar</v>
      </c>
      <c r="Q68" s="213" t="str">
        <f t="shared" ref="Q68:V68" si="69">Q48</f>
        <v>Microônibus - Com Ar</v>
      </c>
      <c r="R68" s="213" t="str">
        <f t="shared" si="69"/>
        <v>Midiônibus - Sem Ar</v>
      </c>
      <c r="S68" s="213" t="str">
        <f t="shared" si="69"/>
        <v>Midiônibus - Com Ar</v>
      </c>
      <c r="T68" s="213" t="str">
        <f t="shared" si="69"/>
        <v>Básico - Sem Ar</v>
      </c>
      <c r="U68" s="213" t="str">
        <f t="shared" si="69"/>
        <v>Básico - Com Ar</v>
      </c>
      <c r="V68" s="213" t="str">
        <f t="shared" si="69"/>
        <v>Ônibus Padron</v>
      </c>
    </row>
    <row r="69" spans="5:22" x14ac:dyDescent="0.3">
      <c r="E69" s="246" t="s">
        <v>288</v>
      </c>
      <c r="F69" s="219">
        <f>F49/12</f>
        <v>0</v>
      </c>
      <c r="G69" s="219">
        <f t="shared" ref="G69:L69" si="70">G49/12</f>
        <v>0</v>
      </c>
      <c r="H69" s="219">
        <f t="shared" si="70"/>
        <v>0</v>
      </c>
      <c r="I69" s="219">
        <f t="shared" si="70"/>
        <v>0</v>
      </c>
      <c r="J69" s="219">
        <f t="shared" si="70"/>
        <v>0</v>
      </c>
      <c r="K69" s="219">
        <f t="shared" si="70"/>
        <v>0</v>
      </c>
      <c r="L69" s="219">
        <f t="shared" si="70"/>
        <v>0</v>
      </c>
      <c r="O69" s="246" t="s">
        <v>288</v>
      </c>
      <c r="P69" s="219">
        <f>P49/12</f>
        <v>0</v>
      </c>
      <c r="Q69" s="219">
        <f t="shared" ref="Q69:V69" si="71">Q49/12</f>
        <v>0</v>
      </c>
      <c r="R69" s="219">
        <f t="shared" si="71"/>
        <v>0</v>
      </c>
      <c r="S69" s="219">
        <f t="shared" si="71"/>
        <v>0</v>
      </c>
      <c r="T69" s="219">
        <f t="shared" si="71"/>
        <v>0</v>
      </c>
      <c r="U69" s="219">
        <f t="shared" si="71"/>
        <v>0</v>
      </c>
      <c r="V69" s="219">
        <f t="shared" si="71"/>
        <v>0</v>
      </c>
    </row>
    <row r="70" spans="5:22" x14ac:dyDescent="0.3">
      <c r="E70" s="246" t="s">
        <v>289</v>
      </c>
      <c r="F70" s="219">
        <f t="shared" ref="F70:L70" si="72">F50/12</f>
        <v>0</v>
      </c>
      <c r="G70" s="219">
        <f t="shared" si="72"/>
        <v>6328.4664272727277</v>
      </c>
      <c r="H70" s="219">
        <f t="shared" si="72"/>
        <v>0</v>
      </c>
      <c r="I70" s="219">
        <f t="shared" si="72"/>
        <v>196265.38139999998</v>
      </c>
      <c r="J70" s="219">
        <f t="shared" si="72"/>
        <v>0</v>
      </c>
      <c r="K70" s="219">
        <f t="shared" si="72"/>
        <v>47311.904863636359</v>
      </c>
      <c r="L70" s="219">
        <f t="shared" si="72"/>
        <v>0</v>
      </c>
      <c r="O70" s="246" t="s">
        <v>289</v>
      </c>
      <c r="P70" s="219">
        <f t="shared" ref="P70:V70" si="73">P50/12</f>
        <v>0</v>
      </c>
      <c r="Q70" s="219">
        <f t="shared" si="73"/>
        <v>3809.9488151515156</v>
      </c>
      <c r="R70" s="219">
        <f t="shared" si="73"/>
        <v>0</v>
      </c>
      <c r="S70" s="219">
        <f t="shared" si="73"/>
        <v>118163.45719560001</v>
      </c>
      <c r="T70" s="219">
        <f t="shared" si="73"/>
        <v>0</v>
      </c>
      <c r="U70" s="219">
        <f t="shared" si="73"/>
        <v>28461.628912636359</v>
      </c>
      <c r="V70" s="219">
        <f t="shared" si="73"/>
        <v>0</v>
      </c>
    </row>
    <row r="71" spans="5:22" x14ac:dyDescent="0.3">
      <c r="E71" s="246" t="s">
        <v>290</v>
      </c>
      <c r="F71" s="219">
        <f t="shared" ref="F71:L71" si="74">F51/12</f>
        <v>0</v>
      </c>
      <c r="G71" s="219">
        <f t="shared" si="74"/>
        <v>0</v>
      </c>
      <c r="H71" s="219">
        <f t="shared" si="74"/>
        <v>0</v>
      </c>
      <c r="I71" s="219">
        <f t="shared" si="74"/>
        <v>0</v>
      </c>
      <c r="J71" s="219">
        <f t="shared" si="74"/>
        <v>0</v>
      </c>
      <c r="K71" s="219">
        <f t="shared" si="74"/>
        <v>0</v>
      </c>
      <c r="L71" s="219">
        <f t="shared" si="74"/>
        <v>0</v>
      </c>
      <c r="O71" s="246" t="s">
        <v>290</v>
      </c>
      <c r="P71" s="219">
        <f t="shared" ref="P71:V71" si="75">P51/12</f>
        <v>0</v>
      </c>
      <c r="Q71" s="219">
        <f t="shared" si="75"/>
        <v>0</v>
      </c>
      <c r="R71" s="219">
        <f t="shared" si="75"/>
        <v>0</v>
      </c>
      <c r="S71" s="219">
        <f t="shared" si="75"/>
        <v>0</v>
      </c>
      <c r="T71" s="219">
        <f t="shared" si="75"/>
        <v>0</v>
      </c>
      <c r="U71" s="219">
        <f t="shared" si="75"/>
        <v>0</v>
      </c>
      <c r="V71" s="219">
        <f t="shared" si="75"/>
        <v>0</v>
      </c>
    </row>
    <row r="72" spans="5:22" x14ac:dyDescent="0.3">
      <c r="E72" s="246" t="s">
        <v>291</v>
      </c>
      <c r="F72" s="219">
        <f t="shared" ref="F72:L72" si="76">F52/12</f>
        <v>0</v>
      </c>
      <c r="G72" s="219">
        <f t="shared" si="76"/>
        <v>0</v>
      </c>
      <c r="H72" s="219">
        <f t="shared" si="76"/>
        <v>0</v>
      </c>
      <c r="I72" s="219">
        <f t="shared" si="76"/>
        <v>0</v>
      </c>
      <c r="J72" s="219">
        <f t="shared" si="76"/>
        <v>0</v>
      </c>
      <c r="K72" s="219">
        <f t="shared" si="76"/>
        <v>0</v>
      </c>
      <c r="L72" s="219">
        <f t="shared" si="76"/>
        <v>0</v>
      </c>
      <c r="O72" s="246" t="s">
        <v>291</v>
      </c>
      <c r="P72" s="219">
        <f t="shared" ref="P72:V72" si="77">P52/12</f>
        <v>0</v>
      </c>
      <c r="Q72" s="219">
        <f t="shared" si="77"/>
        <v>0</v>
      </c>
      <c r="R72" s="219">
        <f t="shared" si="77"/>
        <v>0</v>
      </c>
      <c r="S72" s="219">
        <f t="shared" si="77"/>
        <v>0</v>
      </c>
      <c r="T72" s="219">
        <f t="shared" si="77"/>
        <v>0</v>
      </c>
      <c r="U72" s="219">
        <f t="shared" si="77"/>
        <v>0</v>
      </c>
      <c r="V72" s="219">
        <f t="shared" si="77"/>
        <v>0</v>
      </c>
    </row>
    <row r="73" spans="5:22" x14ac:dyDescent="0.3">
      <c r="E73" s="246" t="s">
        <v>292</v>
      </c>
      <c r="F73" s="219">
        <f t="shared" ref="F73:L73" si="78">F53/12</f>
        <v>0</v>
      </c>
      <c r="G73" s="219">
        <f t="shared" si="78"/>
        <v>0</v>
      </c>
      <c r="H73" s="219">
        <f t="shared" si="78"/>
        <v>0</v>
      </c>
      <c r="I73" s="219">
        <f t="shared" si="78"/>
        <v>0</v>
      </c>
      <c r="J73" s="219">
        <f t="shared" si="78"/>
        <v>0</v>
      </c>
      <c r="K73" s="219">
        <f t="shared" si="78"/>
        <v>0</v>
      </c>
      <c r="L73" s="219">
        <f t="shared" si="78"/>
        <v>0</v>
      </c>
      <c r="O73" s="246" t="s">
        <v>292</v>
      </c>
      <c r="P73" s="219">
        <f t="shared" ref="P73:V73" si="79">P53/12</f>
        <v>0</v>
      </c>
      <c r="Q73" s="219">
        <f t="shared" si="79"/>
        <v>0</v>
      </c>
      <c r="R73" s="219">
        <f t="shared" si="79"/>
        <v>0</v>
      </c>
      <c r="S73" s="219">
        <f t="shared" si="79"/>
        <v>0</v>
      </c>
      <c r="T73" s="219">
        <f t="shared" si="79"/>
        <v>0</v>
      </c>
      <c r="U73" s="219">
        <f t="shared" si="79"/>
        <v>0</v>
      </c>
      <c r="V73" s="219">
        <f t="shared" si="79"/>
        <v>0</v>
      </c>
    </row>
    <row r="74" spans="5:22" x14ac:dyDescent="0.3">
      <c r="E74" s="246" t="s">
        <v>293</v>
      </c>
      <c r="F74" s="219">
        <f t="shared" ref="F74:L74" si="80">F54/12</f>
        <v>0</v>
      </c>
      <c r="G74" s="219">
        <f t="shared" si="80"/>
        <v>0</v>
      </c>
      <c r="H74" s="219">
        <f t="shared" si="80"/>
        <v>0</v>
      </c>
      <c r="I74" s="219">
        <f t="shared" si="80"/>
        <v>0</v>
      </c>
      <c r="J74" s="219">
        <f t="shared" si="80"/>
        <v>0</v>
      </c>
      <c r="K74" s="219">
        <f t="shared" si="80"/>
        <v>0</v>
      </c>
      <c r="L74" s="219">
        <f t="shared" si="80"/>
        <v>0</v>
      </c>
      <c r="O74" s="246" t="s">
        <v>293</v>
      </c>
      <c r="P74" s="219">
        <f t="shared" ref="P74:V74" si="81">P54/12</f>
        <v>0</v>
      </c>
      <c r="Q74" s="219">
        <f t="shared" si="81"/>
        <v>0</v>
      </c>
      <c r="R74" s="219">
        <f t="shared" si="81"/>
        <v>0</v>
      </c>
      <c r="S74" s="219">
        <f t="shared" si="81"/>
        <v>0</v>
      </c>
      <c r="T74" s="219">
        <f t="shared" si="81"/>
        <v>0</v>
      </c>
      <c r="U74" s="219">
        <f t="shared" si="81"/>
        <v>0</v>
      </c>
      <c r="V74" s="219">
        <f t="shared" si="81"/>
        <v>0</v>
      </c>
    </row>
    <row r="75" spans="5:22" x14ac:dyDescent="0.3">
      <c r="E75" s="246" t="s">
        <v>294</v>
      </c>
      <c r="F75" s="219">
        <f t="shared" ref="F75:L75" si="82">F55/12</f>
        <v>0</v>
      </c>
      <c r="G75" s="219">
        <f t="shared" si="82"/>
        <v>0</v>
      </c>
      <c r="H75" s="219">
        <f t="shared" si="82"/>
        <v>0</v>
      </c>
      <c r="I75" s="219">
        <f t="shared" si="82"/>
        <v>0</v>
      </c>
      <c r="J75" s="219">
        <f t="shared" si="82"/>
        <v>0</v>
      </c>
      <c r="K75" s="219">
        <f t="shared" si="82"/>
        <v>0</v>
      </c>
      <c r="L75" s="219">
        <f t="shared" si="82"/>
        <v>0</v>
      </c>
      <c r="O75" s="246" t="s">
        <v>294</v>
      </c>
      <c r="P75" s="219">
        <f t="shared" ref="P75:V75" si="83">P55/12</f>
        <v>0</v>
      </c>
      <c r="Q75" s="219">
        <f t="shared" si="83"/>
        <v>0</v>
      </c>
      <c r="R75" s="219">
        <f t="shared" si="83"/>
        <v>0</v>
      </c>
      <c r="S75" s="219">
        <f t="shared" si="83"/>
        <v>0</v>
      </c>
      <c r="T75" s="219">
        <f t="shared" si="83"/>
        <v>0</v>
      </c>
      <c r="U75" s="219">
        <f t="shared" si="83"/>
        <v>0</v>
      </c>
      <c r="V75" s="219">
        <f t="shared" si="83"/>
        <v>0</v>
      </c>
    </row>
    <row r="76" spans="5:22" x14ac:dyDescent="0.3">
      <c r="E76" s="246" t="s">
        <v>295</v>
      </c>
      <c r="F76" s="219">
        <f t="shared" ref="F76:L76" si="84">F56/12</f>
        <v>0</v>
      </c>
      <c r="G76" s="219">
        <f t="shared" si="84"/>
        <v>0</v>
      </c>
      <c r="H76" s="219">
        <f t="shared" si="84"/>
        <v>0</v>
      </c>
      <c r="I76" s="219">
        <f t="shared" si="84"/>
        <v>0</v>
      </c>
      <c r="J76" s="219">
        <f t="shared" si="84"/>
        <v>0</v>
      </c>
      <c r="K76" s="219">
        <f t="shared" si="84"/>
        <v>0</v>
      </c>
      <c r="L76" s="219">
        <f t="shared" si="84"/>
        <v>0</v>
      </c>
      <c r="O76" s="246" t="s">
        <v>295</v>
      </c>
      <c r="P76" s="219">
        <f t="shared" ref="P76:V76" si="85">P56/12</f>
        <v>0</v>
      </c>
      <c r="Q76" s="219">
        <f t="shared" si="85"/>
        <v>0</v>
      </c>
      <c r="R76" s="219">
        <f t="shared" si="85"/>
        <v>0</v>
      </c>
      <c r="S76" s="219">
        <f t="shared" si="85"/>
        <v>0</v>
      </c>
      <c r="T76" s="219">
        <f t="shared" si="85"/>
        <v>0</v>
      </c>
      <c r="U76" s="219">
        <f t="shared" si="85"/>
        <v>0</v>
      </c>
      <c r="V76" s="219">
        <f t="shared" si="85"/>
        <v>0</v>
      </c>
    </row>
    <row r="77" spans="5:22" x14ac:dyDescent="0.3">
      <c r="E77" s="246" t="s">
        <v>296</v>
      </c>
      <c r="F77" s="219">
        <f t="shared" ref="F77:L77" si="86">F57/12</f>
        <v>12481.440545454547</v>
      </c>
      <c r="G77" s="219">
        <f t="shared" si="86"/>
        <v>0</v>
      </c>
      <c r="H77" s="219">
        <f t="shared" si="86"/>
        <v>0</v>
      </c>
      <c r="I77" s="219">
        <f t="shared" si="86"/>
        <v>0</v>
      </c>
      <c r="J77" s="219">
        <f t="shared" si="86"/>
        <v>0</v>
      </c>
      <c r="K77" s="219">
        <f t="shared" si="86"/>
        <v>0</v>
      </c>
      <c r="L77" s="219">
        <f t="shared" si="86"/>
        <v>0</v>
      </c>
      <c r="O77" s="246" t="s">
        <v>296</v>
      </c>
      <c r="P77" s="219">
        <f t="shared" ref="P77:V77" si="87">P57/12</f>
        <v>6038.4632272727313</v>
      </c>
      <c r="Q77" s="219">
        <f t="shared" si="87"/>
        <v>0</v>
      </c>
      <c r="R77" s="219">
        <f t="shared" si="87"/>
        <v>0</v>
      </c>
      <c r="S77" s="219">
        <f t="shared" si="87"/>
        <v>0</v>
      </c>
      <c r="T77" s="219">
        <f t="shared" si="87"/>
        <v>0</v>
      </c>
      <c r="U77" s="219">
        <f t="shared" si="87"/>
        <v>0</v>
      </c>
      <c r="V77" s="219">
        <f t="shared" si="87"/>
        <v>0</v>
      </c>
    </row>
    <row r="78" spans="5:22" x14ac:dyDescent="0.3">
      <c r="E78" s="246" t="s">
        <v>297</v>
      </c>
      <c r="F78" s="219">
        <f t="shared" ref="F78:L78" si="88">F58/12</f>
        <v>0</v>
      </c>
      <c r="G78" s="219">
        <f t="shared" si="88"/>
        <v>0</v>
      </c>
      <c r="H78" s="219">
        <f t="shared" si="88"/>
        <v>0</v>
      </c>
      <c r="I78" s="219">
        <f t="shared" si="88"/>
        <v>0</v>
      </c>
      <c r="J78" s="219">
        <f t="shared" si="88"/>
        <v>0</v>
      </c>
      <c r="K78" s="219">
        <f t="shared" si="88"/>
        <v>0</v>
      </c>
      <c r="L78" s="219">
        <f t="shared" si="88"/>
        <v>0</v>
      </c>
      <c r="O78" s="246" t="s">
        <v>297</v>
      </c>
      <c r="P78" s="219">
        <f t="shared" ref="P78:V78" si="89">P58/12</f>
        <v>0</v>
      </c>
      <c r="Q78" s="219">
        <f t="shared" si="89"/>
        <v>0</v>
      </c>
      <c r="R78" s="219">
        <f t="shared" si="89"/>
        <v>0</v>
      </c>
      <c r="S78" s="219">
        <f t="shared" si="89"/>
        <v>0</v>
      </c>
      <c r="T78" s="219">
        <f t="shared" si="89"/>
        <v>0</v>
      </c>
      <c r="U78" s="219">
        <f t="shared" si="89"/>
        <v>0</v>
      </c>
      <c r="V78" s="219">
        <f t="shared" si="89"/>
        <v>0</v>
      </c>
    </row>
    <row r="79" spans="5:22" x14ac:dyDescent="0.3">
      <c r="E79" s="246" t="s">
        <v>298</v>
      </c>
      <c r="F79" s="219">
        <f t="shared" ref="F79:L79" si="90">F59/12</f>
        <v>0</v>
      </c>
      <c r="G79" s="219">
        <f t="shared" si="90"/>
        <v>0</v>
      </c>
      <c r="H79" s="219">
        <f t="shared" si="90"/>
        <v>0</v>
      </c>
      <c r="I79" s="219">
        <f t="shared" si="90"/>
        <v>0</v>
      </c>
      <c r="J79" s="219">
        <f t="shared" si="90"/>
        <v>0</v>
      </c>
      <c r="K79" s="219">
        <f t="shared" si="90"/>
        <v>0</v>
      </c>
      <c r="L79" s="219">
        <f t="shared" si="90"/>
        <v>0</v>
      </c>
      <c r="O79" s="246" t="s">
        <v>298</v>
      </c>
      <c r="P79" s="219">
        <f t="shared" ref="P79:V79" si="91">P59/12</f>
        <v>0</v>
      </c>
      <c r="Q79" s="219">
        <f t="shared" si="91"/>
        <v>0</v>
      </c>
      <c r="R79" s="219">
        <f t="shared" si="91"/>
        <v>0</v>
      </c>
      <c r="S79" s="219">
        <f t="shared" si="91"/>
        <v>0</v>
      </c>
      <c r="T79" s="219">
        <f t="shared" si="91"/>
        <v>0</v>
      </c>
      <c r="U79" s="219">
        <f t="shared" si="91"/>
        <v>0</v>
      </c>
      <c r="V79" s="219">
        <f t="shared" si="91"/>
        <v>0</v>
      </c>
    </row>
    <row r="80" spans="5:22" x14ac:dyDescent="0.3">
      <c r="E80" s="246" t="s">
        <v>299</v>
      </c>
      <c r="F80" s="219">
        <f t="shared" ref="F80:L80" si="92">F60/12</f>
        <v>0</v>
      </c>
      <c r="G80" s="219">
        <f t="shared" si="92"/>
        <v>0</v>
      </c>
      <c r="H80" s="219">
        <f t="shared" si="92"/>
        <v>0</v>
      </c>
      <c r="I80" s="219">
        <f t="shared" si="92"/>
        <v>0</v>
      </c>
      <c r="J80" s="219">
        <f t="shared" si="92"/>
        <v>0</v>
      </c>
      <c r="K80" s="219">
        <f t="shared" si="92"/>
        <v>0</v>
      </c>
      <c r="L80" s="219">
        <f t="shared" si="92"/>
        <v>0</v>
      </c>
      <c r="O80" s="246" t="s">
        <v>299</v>
      </c>
      <c r="P80" s="219">
        <f t="shared" ref="P80:V80" si="93">P60/12</f>
        <v>0</v>
      </c>
      <c r="Q80" s="219">
        <f t="shared" si="93"/>
        <v>0</v>
      </c>
      <c r="R80" s="219">
        <f t="shared" si="93"/>
        <v>6632.9705986500057</v>
      </c>
      <c r="S80" s="219">
        <f t="shared" si="93"/>
        <v>0</v>
      </c>
      <c r="T80" s="219">
        <f t="shared" si="93"/>
        <v>0</v>
      </c>
      <c r="U80" s="219">
        <f t="shared" si="93"/>
        <v>0</v>
      </c>
      <c r="V80" s="219">
        <f t="shared" si="93"/>
        <v>0</v>
      </c>
    </row>
    <row r="81" spans="5:22" x14ac:dyDescent="0.3">
      <c r="E81" s="246" t="s">
        <v>300</v>
      </c>
      <c r="F81" s="219">
        <f t="shared" ref="F81:L81" si="94">F61/12</f>
        <v>0</v>
      </c>
      <c r="G81" s="219">
        <f t="shared" si="94"/>
        <v>0</v>
      </c>
      <c r="H81" s="219">
        <f t="shared" si="94"/>
        <v>0</v>
      </c>
      <c r="I81" s="219">
        <f t="shared" si="94"/>
        <v>0</v>
      </c>
      <c r="J81" s="219">
        <f t="shared" si="94"/>
        <v>0</v>
      </c>
      <c r="K81" s="219">
        <f t="shared" si="94"/>
        <v>0</v>
      </c>
      <c r="L81" s="219">
        <f t="shared" si="94"/>
        <v>0</v>
      </c>
      <c r="O81" s="246" t="s">
        <v>300</v>
      </c>
      <c r="P81" s="219">
        <f t="shared" ref="P81:V81" si="95">P61/12</f>
        <v>0</v>
      </c>
      <c r="Q81" s="219">
        <f t="shared" si="95"/>
        <v>0</v>
      </c>
      <c r="R81" s="219">
        <f t="shared" si="95"/>
        <v>0</v>
      </c>
      <c r="S81" s="219">
        <f t="shared" si="95"/>
        <v>0</v>
      </c>
      <c r="T81" s="219">
        <f t="shared" si="95"/>
        <v>0</v>
      </c>
      <c r="U81" s="219">
        <f t="shared" si="95"/>
        <v>0</v>
      </c>
      <c r="V81" s="219">
        <f t="shared" si="95"/>
        <v>0</v>
      </c>
    </row>
    <row r="82" spans="5:22" x14ac:dyDescent="0.3">
      <c r="E82" s="220" t="s">
        <v>310</v>
      </c>
      <c r="F82" s="223">
        <f>SUM(F69:F81)</f>
        <v>12481.440545454547</v>
      </c>
      <c r="G82" s="223">
        <f t="shared" ref="G82:L82" si="96">SUM(G69:G81)</f>
        <v>6328.4664272727277</v>
      </c>
      <c r="H82" s="223">
        <f t="shared" si="96"/>
        <v>0</v>
      </c>
      <c r="I82" s="223">
        <f t="shared" si="96"/>
        <v>196265.38139999998</v>
      </c>
      <c r="J82" s="223">
        <f t="shared" si="96"/>
        <v>0</v>
      </c>
      <c r="K82" s="223">
        <f t="shared" si="96"/>
        <v>47311.904863636359</v>
      </c>
      <c r="L82" s="223">
        <f t="shared" si="96"/>
        <v>0</v>
      </c>
      <c r="O82" s="220" t="s">
        <v>311</v>
      </c>
      <c r="P82" s="223">
        <f>SUM(P69:P81)</f>
        <v>6038.4632272727313</v>
      </c>
      <c r="Q82" s="223">
        <f t="shared" ref="Q82:V82" si="97">SUM(Q69:Q81)</f>
        <v>3809.9488151515156</v>
      </c>
      <c r="R82" s="223">
        <f t="shared" si="97"/>
        <v>6632.9705986500057</v>
      </c>
      <c r="S82" s="223">
        <f t="shared" si="97"/>
        <v>118163.45719560001</v>
      </c>
      <c r="T82" s="223">
        <f t="shared" si="97"/>
        <v>0</v>
      </c>
      <c r="U82" s="223">
        <f t="shared" si="97"/>
        <v>28461.628912636359</v>
      </c>
      <c r="V82" s="223">
        <f t="shared" si="97"/>
        <v>0</v>
      </c>
    </row>
    <row r="83" spans="5:22" x14ac:dyDescent="0.3">
      <c r="E83" s="220" t="s">
        <v>312</v>
      </c>
      <c r="F83" s="223">
        <f>IFERROR(F82/Y27,0)</f>
        <v>1248.1440545454548</v>
      </c>
      <c r="G83" s="223">
        <f t="shared" ref="G83:L83" si="98">IFERROR(G82/Z27,0)</f>
        <v>6328.4664272727277</v>
      </c>
      <c r="H83" s="223">
        <f t="shared" si="98"/>
        <v>0</v>
      </c>
      <c r="I83" s="223">
        <f t="shared" si="98"/>
        <v>8921.1536999999989</v>
      </c>
      <c r="J83" s="223">
        <f t="shared" si="98"/>
        <v>0</v>
      </c>
      <c r="K83" s="223">
        <f t="shared" si="98"/>
        <v>9462.380972727271</v>
      </c>
      <c r="L83" s="223">
        <f t="shared" si="98"/>
        <v>0</v>
      </c>
      <c r="O83" s="220" t="s">
        <v>312</v>
      </c>
      <c r="P83" s="223">
        <f t="shared" ref="P83:V83" si="99">IFERROR(P82/Y27,0)</f>
        <v>603.8463227272731</v>
      </c>
      <c r="Q83" s="223">
        <f t="shared" si="99"/>
        <v>3809.9488151515156</v>
      </c>
      <c r="R83" s="223">
        <f t="shared" si="99"/>
        <v>602.9973271500005</v>
      </c>
      <c r="S83" s="223">
        <f t="shared" si="99"/>
        <v>5371.0662361636369</v>
      </c>
      <c r="T83" s="223">
        <f t="shared" si="99"/>
        <v>0</v>
      </c>
      <c r="U83" s="223">
        <f t="shared" si="99"/>
        <v>5692.3257825272722</v>
      </c>
      <c r="V83" s="223">
        <f t="shared" si="99"/>
        <v>0</v>
      </c>
    </row>
    <row r="85" spans="5:22" x14ac:dyDescent="0.3">
      <c r="J85" s="45" t="s">
        <v>313</v>
      </c>
      <c r="K85" s="223">
        <f>SUM(F82:L82)</f>
        <v>262387.19323636359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45D369972AE34BA259A6AEE62BFCF1" ma:contentTypeVersion="13" ma:contentTypeDescription="Crie um novo documento." ma:contentTypeScope="" ma:versionID="733a1bed60b1518f53a12ad6aa445984">
  <xsd:schema xmlns:xsd="http://www.w3.org/2001/XMLSchema" xmlns:xs="http://www.w3.org/2001/XMLSchema" xmlns:p="http://schemas.microsoft.com/office/2006/metadata/properties" xmlns:ns2="4b6a9d40-16da-496c-9a26-b09a81a928c1" xmlns:ns3="085db5f2-1c78-490a-a89a-2eafc929e690" targetNamespace="http://schemas.microsoft.com/office/2006/metadata/properties" ma:root="true" ma:fieldsID="fb55f4bd664daec3960a57bb11a66800" ns2:_="" ns3:_="">
    <xsd:import namespace="4b6a9d40-16da-496c-9a26-b09a81a928c1"/>
    <xsd:import namespace="085db5f2-1c78-490a-a89a-2eafc929e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a9d40-16da-496c-9a26-b09a81a92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c3b712a-1d68-4711-a35d-c1edc9005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db5f2-1c78-490a-a89a-2eafc929e6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1130d1-802c-47fa-a66c-985a4254a1a2}" ma:internalName="TaxCatchAll" ma:showField="CatchAllData" ma:web="085db5f2-1c78-490a-a89a-2eafc929e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5db5f2-1c78-490a-a89a-2eafc929e690" xsi:nil="true"/>
    <lcf76f155ced4ddcb4097134ff3c332f xmlns="4b6a9d40-16da-496c-9a26-b09a81a928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L Q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e 2 e 2 6 0 A A A D 3 A A A A E g A A A E N v b m Z p Z y 9 Q Y W N r Y W d l L n h t b I S P s Q r C M B i E d 8 F 3 K N m b p O k i 5 W 8 K u l o Q B X E N b b D B N i l N a v p u D j 6 S r 2 C L V t 0 c 7 + 6 D u 3 v c 7 p A N T R 1 c Z W e V 0 S m K M E W B d U K X o j Z a p k g b l P H l A n a i u I i z D E Z a 2 2 S w Z Y o q 5 9 q E E O 8 9 9 j E 2 3 Z k w S i N y y r e H o p K N Q B 9 Y / Y d D p a f a Q i I O x 9 c a z n A U M x y z F a Z A Z h N y p b 8 A G w d P 6 Y 8 J m 7 5 2 f S d 5 6 8 L 1 H s g s g b w / 8 C c A A A D / / w M A U E s D B B Q A A g A I A A A A I Q C C / j S w w w Q A A E Y N A A A T A A A A R m 9 y b X V s Y X M v U 2 V j d G l v b j E u b Z x X S 2 / b R h C + G 8 h / W D A X C Z C o y H b c t K k L 0 O R K Y W q R C k n Z B Q Q h W J J r i z W 1 q + x S f t T w I e g h a A C f e u u 1 h / w Q / r E O H 7 a e l N 0 I A k T N f P P N Y 2 e G p K R B E n G G 3 O K 3 / X Z n R 4 6 J o C E 6 M j 5 2 B E + I 2 9 X R I Y p p 8 m I H w a f D W U J B 4 H 6 K V Y M k x C e S 1 h R 5 H v g z O Z 6 c N y U V l 1 S o Y a l S r y I W 8 i u p M p o o D a Q A G 6 D g a v h h R s X N o e L i Y 6 x 7 K I x k E r E g Q U Q d 5 m 5 1 H p 7 Q K J j F f P S y F p / V U f 5 p P K j 7 M Q n I R o 0 1 m + h j I m W 0 p P X V H g 9 p z A v V o i b I N D o R g g d U R G R R F a p e N O V l G J t 8 Z Q X A L B E k J F u 8 a Y x 3 i C + i A E L m W 2 H F 3 x L S c e w e G o Y + H 5 X e 5 A h p L i o i L D G m Z W E H v b d N C x W 2 s u C S G d J H t o W W f Z g h H B 1 Z E V V z P V Y l 5 w s y v p V y z Q k X Z e u M W S F l W c m c L M z I l g p c U i 1 J S q L T d 9 j B a M B 0 z i Q X Q V R g 2 3 t I s w w w W T 0 L 9 P M h 6 m L P 0 D x c q 6 9 i H H p G B W V B R N A v c 5 Q y q j e K B n + p Z B E g L U 4 o c H E F H H n E j 6 n q C c L k G R c T n c e z C f N u p l T W 8 n F o 3 N 4 q q z F A i y e A Q D A I 9 O 5 u T t 6 n Q n J G 4 u g P k n 5 L / w V H Y Q Q J s c z k 0 Z U W h o W T 2 m o 0 M E J m S E I K F 5 Q E Y 7 T 7 a n e / O d z Y R l U Z t Z 9 I a X u M W a 4 P E Z g s O d h X M 6 v F D I 8 j B o E g P c 6 i O Y O u D 4 m c u 3 S 5 S G p r E T 1 W c D 7 2 w G + L E F a J J g P K w o i d g 5 M X O x H b 6 m d p f 2 l W f 9 P q w t c B j d V T L i 5 8 z i 9 q p 9 R X 9 U z F E l l T x k k y l T + 1 W l d X V + o 5 v 1 R 9 0 S J s 2 p o m z e x K y h l L u G x N B Q 2 4 b N J m C N 0 k S T M k z Y C z g I u i s 0 r 9 A 0 z Q S 8 i A 5 P B m t u l E 5 M 8 g Y A 5 G E 9 i b S X R J I 9 m S 4 3 j a m l A m S V z + N C c z B p W f R k D y O 2 F w 2 L v N 7 M T V 6 1 h e K / U G Y r M 4 h k Y T M z q v f 2 9 g m X p 6 3 z d t F z X R e 8 1 C u 7 s I 9 5 B h a p a H P 7 p j C q s Y y p C X 4 3 Z o J n R y + I S R 0 v g V 1 j g s 6 9 x 2 d D f M G n 3 0 6 F E n P k 2 / k X g M o 9 0 X f M I v o 5 A v n H k u S + g 7 C m 0 j s g Z 7 V o h w j y g N t T h 2 A x I T I Q + z V L 9 z V C v j z J p P 6 6 Z f L d 3 U k K X p p m 1 p x 8 i w U R 9 7 T v r 3 M b Y b q J t + d k H n D R x Q Y X R k 2 r r d O x q 4 X n p / g s 0 s C 2 i 2 h 5 k n 7 O a u g W 6 V w v v u g z i h 1 8 m C f K 9 C v l 8 h f 1 0 h P 9 j s 9 o c K + J v N 8 B 8 3 i 9 u v K u T t C n l V t u 2 9 C o O q d N t V + b Y P q h R V K b f f L C n W d 5 U 7 m 8 K N i w s q k U P z t l h a W R f R d H 0 R t 1 / X n x i A 9 p Y J 2 O b 4 f z d + + z s 7 v 9 i 7 v f S r u 3 S 3 y g r X d 2 x j 4 N l r B X V w 1 0 z / X J d j 1 9 O M d f F 8 0 N d U V v p P D z s 2 M j D q 2 6 4 H m 6 C P 3 Q 8 D 0 w U e d / n m k s G B y N A A C 9 8 e N u B 6 j b D v 4 P S L j X r p X 4 Z p I w e f Y G u O Y r O J T 0 W O M 7 B 7 A o C + Z j i Q y R b g I + G 9 Z f a e B f z 8 2 3 Z g T 3 O 6 s O b y E L V V 3 L x p b d z J 8 j z R H F N L v z w z y D x r w 3 Q 9 x z w a m L n Z G v N K 6 k + g V / J / L r o o w h P o D T l u s V i f 2 E 4 U 5 4 9 Z i 2 N K Y 3 i J c e B l Y 8 P z R f G 0 V B v O G 3 I E h o p n H 2 N o 2 z o s p R C 0 Z d f n K t B k M W F 4 Q V H q m x 4 8 5 i G 8 / Q 8 A A P / / A w B Q S w E C L Q A U A A Y A C A A A A C E A K t 2 q Q N I A A A A 3 A Q A A E w A A A A A A A A A A A A A A A A A A A A A A W 0 N v b n R l b n R f V H l w Z X N d L n h t b F B L A Q I t A B Q A A g A I A A A A I Q A V 7 Z 7 b r Q A A A P c A A A A S A A A A A A A A A A A A A A A A A A s D A A B D b 2 5 m a W c v U G F j a 2 F n Z S 5 4 b W x Q S w E C L Q A U A A I A C A A A A C E A g v 4 0 s M M E A A B G D Q A A E w A A A A A A A A A A A A A A A A D o A w A A R m 9 y b X V s Y X M v U 2 V j d G l v b j E u b V B L B Q Y A A A A A A w A D A M I A A A D c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S Y A A A A A A A B v J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J E X 0 Z y b 3 R h U 0 d D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x M 1 Q y M T o y N z o 0 N y 4 3 N j Y 5 M j g 1 W i I v P j x F b n R y e S B U e X B l P S J G a W x s Q 2 9 s d W 1 u V H l w Z X M i I F Z h b H V l P S J z Q m d Z R 0 J n W U d D U X d N Q X c 9 P S I v P j x F b n R y e S B U e X B l P S J G a W x s Q 2 9 s d W 1 u T m F t Z X M i I F Z h b H V l P S J z W y Z x d W 9 0 O 0 Z y b 3 R h Q 2 9 k V m V p Y 3 V s b y Z x d W 9 0 O y w m c X V v d D t G c m 9 0 Y V B s Y W N h J n F 1 b 3 Q 7 L C Z x d W 9 0 O 0 Z y b 3 R h T n V t Q 2 h h c 3 N p J n F 1 b 3 Q 7 L C Z x d W 9 0 O 0 1 v Z G V s b 0 N o Y X N z a S Z x d W 9 0 O y w m c X V v d D t N b 2 R D Y X J y b 2 N l c m l h J n F 1 b 3 Q 7 L C Z x d W 9 0 O 1 R p c G 9 W Z W l j d W x v J n F 1 b 3 Q 7 L C Z x d W 9 0 O 0 Z y b 3 R h R G F 0 Y U V u d H J h Z G E m c X V v d D s s J n F 1 b 3 Q 7 T W 9 k Z W x v Q 2 h h c 3 N p Q W 5 v R m F i c m l j Y W N h b y Z x d W 9 0 O y w m c X V v d D t N b 2 R l b G 9 D a G F z c 2 l B b m 9 N b 2 R l b G 8 m c X V v d D s s J n F 1 b 3 Q 7 S W R h Z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1 O T c 3 O W E 0 L T Q 4 N D Y t N D k x M C 1 h Y m I 5 L T Q y N G F h N W F k Y z g z O S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R f R n J v d G F T R 0 M v Q X V 0 b 1 J l b W 9 2 Z W R D b 2 x 1 b W 5 z M S 5 7 R n J v d G F D b 2 R W Z W l j d W x v L D B 9 J n F 1 b 3 Q 7 L C Z x d W 9 0 O 1 N l Y 3 R p b 2 4 x L 0 J E X 0 Z y b 3 R h U 0 d D L 0 F 1 d G 9 S Z W 1 v d m V k Q 2 9 s d W 1 u c z E u e 0 Z y b 3 R h U G x h Y 2 E s M X 0 m c X V v d D s s J n F 1 b 3 Q 7 U 2 V j d G l v b j E v Q k R f R n J v d G F T R 0 M v Q X V 0 b 1 J l b W 9 2 Z W R D b 2 x 1 b W 5 z M S 5 7 R n J v d G F O d W 1 D a G F z c 2 k s M n 0 m c X V v d D s s J n F 1 b 3 Q 7 U 2 V j d G l v b j E v Q k R f R n J v d G F T R 0 M v Q X V 0 b 1 J l b W 9 2 Z W R D b 2 x 1 b W 5 z M S 5 7 T W 9 k Z W x v Q 2 h h c 3 N p L D N 9 J n F 1 b 3 Q 7 L C Z x d W 9 0 O 1 N l Y 3 R p b 2 4 x L 0 J E X 0 Z y b 3 R h U 0 d D L 0 F 1 d G 9 S Z W 1 v d m V k Q 2 9 s d W 1 u c z E u e 0 1 v Z E N h c n J v Y 2 V y a W E s N H 0 m c X V v d D s s J n F 1 b 3 Q 7 U 2 V j d G l v b j E v Q k R f R n J v d G F T R 0 M v Q X V 0 b 1 J l b W 9 2 Z W R D b 2 x 1 b W 5 z M S 5 7 V G l w b 1 Z l a W N 1 b G 8 s N X 0 m c X V v d D s s J n F 1 b 3 Q 7 U 2 V j d G l v b j E v Q k R f R n J v d G F T R 0 M v Q X V 0 b 1 J l b W 9 2 Z W R D b 2 x 1 b W 5 z M S 5 7 R n J v d G F E Y X R h R W 5 0 c m F k Y S w 2 f S Z x d W 9 0 O y w m c X V v d D t T Z W N 0 a W 9 u M S 9 C R F 9 G c m 9 0 Y V N H Q y 9 B d X R v U m V t b 3 Z l Z E N v b H V t b n M x L n t N b 2 R l b G 9 D a G F z c 2 l B b m 9 G Y W J y a W N h Y 2 F v L D d 9 J n F 1 b 3 Q 7 L C Z x d W 9 0 O 1 N l Y 3 R p b 2 4 x L 0 J E X 0 Z y b 3 R h U 0 d D L 0 F 1 d G 9 S Z W 1 v d m V k Q 2 9 s d W 1 u c z E u e 0 1 v Z G V s b 0 N o Y X N z a U F u b 0 1 v Z G V s b y w 4 f S Z x d W 9 0 O y w m c X V v d D t T Z W N 0 a W 9 u M S 9 C R F 9 G c m 9 0 Y V N H Q y 9 B d X R v U m V t b 3 Z l Z E N v b H V t b n M x L n t J Z G F k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k R f R n J v d G F T R 0 M v Q X V 0 b 1 J l b W 9 2 Z W R D b 2 x 1 b W 5 z M S 5 7 R n J v d G F D b 2 R W Z W l j d W x v L D B 9 J n F 1 b 3 Q 7 L C Z x d W 9 0 O 1 N l Y 3 R p b 2 4 x L 0 J E X 0 Z y b 3 R h U 0 d D L 0 F 1 d G 9 S Z W 1 v d m V k Q 2 9 s d W 1 u c z E u e 0 Z y b 3 R h U G x h Y 2 E s M X 0 m c X V v d D s s J n F 1 b 3 Q 7 U 2 V j d G l v b j E v Q k R f R n J v d G F T R 0 M v Q X V 0 b 1 J l b W 9 2 Z W R D b 2 x 1 b W 5 z M S 5 7 R n J v d G F O d W 1 D a G F z c 2 k s M n 0 m c X V v d D s s J n F 1 b 3 Q 7 U 2 V j d G l v b j E v Q k R f R n J v d G F T R 0 M v Q X V 0 b 1 J l b W 9 2 Z W R D b 2 x 1 b W 5 z M S 5 7 T W 9 k Z W x v Q 2 h h c 3 N p L D N 9 J n F 1 b 3 Q 7 L C Z x d W 9 0 O 1 N l Y 3 R p b 2 4 x L 0 J E X 0 Z y b 3 R h U 0 d D L 0 F 1 d G 9 S Z W 1 v d m V k Q 2 9 s d W 1 u c z E u e 0 1 v Z E N h c n J v Y 2 V y a W E s N H 0 m c X V v d D s s J n F 1 b 3 Q 7 U 2 V j d G l v b j E v Q k R f R n J v d G F T R 0 M v Q X V 0 b 1 J l b W 9 2 Z W R D b 2 x 1 b W 5 z M S 5 7 V G l w b 1 Z l a W N 1 b G 8 s N X 0 m c X V v d D s s J n F 1 b 3 Q 7 U 2 V j d G l v b j E v Q k R f R n J v d G F T R 0 M v Q X V 0 b 1 J l b W 9 2 Z W R D b 2 x 1 b W 5 z M S 5 7 R n J v d G F E Y X R h R W 5 0 c m F k Y S w 2 f S Z x d W 9 0 O y w m c X V v d D t T Z W N 0 a W 9 u M S 9 C R F 9 G c m 9 0 Y V N H Q y 9 B d X R v U m V t b 3 Z l Z E N v b H V t b n M x L n t N b 2 R l b G 9 D a G F z c 2 l B b m 9 G Y W J y a W N h Y 2 F v L D d 9 J n F 1 b 3 Q 7 L C Z x d W 9 0 O 1 N l Y 3 R p b 2 4 x L 0 J E X 0 Z y b 3 R h U 0 d D L 0 F 1 d G 9 S Z W 1 v d m V k Q 2 9 s d W 1 u c z E u e 0 1 v Z G V s b 0 N o Y X N z a U F u b 0 1 v Z G V s b y w 4 f S Z x d W 9 0 O y w m c X V v d D t T Z W N 0 a W 9 u M S 9 C R F 9 G c m 9 0 Y V N H Q y 9 B d X R v U m V t b 3 Z l Z E N v b H V t b n M x L n t J Z G F k Z S w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J E X 0 F O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T B U M T Y 6 M D Q 6 N T U u M D I 2 N D M 1 N l o i L z 4 8 R W 5 0 c n k g V H l w Z T 0 i R m l s b E N v b H V t b l R 5 c G V z I i B W Y W x 1 Z T 0 i c 0 N R W U d C Z 1 l E Q m d V R k J R V U d C U V l H Q m d Z R y I v P j x F b n R y e S B U e X B l P S J G a W x s Q 2 9 s d W 1 u T m F t Z X M i I F Z h b H V l P S J z W y Z x d W 9 0 O 0 3 D i l M m c X V v d D s s J n F 1 b 3 Q 7 U F J P R F V U T y Z x d W 9 0 O y w m c X V v d D t S R U d J w 4 N P J n F 1 b 3 Q 7 L C Z x d W 9 0 O 0 V T V E F E T y Z x d W 9 0 O y w m c X V v d D t N V U 5 J Q 8 O N U E l P J n F 1 b 3 Q 7 L C Z x d W 9 0 O 0 7 D m k 1 F U k 8 g R E U g U E 9 T V E 9 T I F B F U 1 F V S V N B R E 9 T J n F 1 b 3 Q 7 L C Z x d W 9 0 O 1 V O S U R B R E U g R E U g T U V E S U R B J n F 1 b 3 Q 7 L C Z x d W 9 0 O 1 B S R c O H T y B N w 4 l E S U 8 g U k V W R U 5 E Q S Z x d W 9 0 O y w m c X V v d D t E R V N W S U 8 g U E F E U s O D T y B S R V Z F T k R B J n F 1 b 3 Q 7 L C Z x d W 9 0 O 1 B S R c O H T y B N w 4 1 O S U 1 P I F J F V k V O R E E m c X V v d D s s J n F 1 b 3 Q 7 U F J F w 4 d P I E 3 D g V h J T U 8 g U k V W R U 5 E Q S Z x d W 9 0 O y w m c X V v d D t N Q V J H R U 0 g T c O J R E l B I F J F V k V O R E E m c X V v d D s s J n F 1 b 3 Q 7 Q 0 9 F R i B E R S B W Q V J J Q c O H w 4 N P I F J F V k V O R E E m c X V v d D s s J n F 1 b 3 Q 7 U F J F w 4 d P I E 3 D i U R J T y B E S V N U U k l C V U n D h 8 O D T y Z x d W 9 0 O y w m c X V v d D t E R V N W S U 8 g U E F E U s O D T y B E S V N U U k l C V U n D h 8 O D T y Z x d W 9 0 O y w m c X V v d D t Q U k X D h 0 8 g T c O N T k l N T y B E S V N U U k l C V U n D h 8 O D T y Z x d W 9 0 O y w m c X V v d D t Q U k X D h 0 8 g T c O B W E l N T y B E S V N U U k l C V U n D h 8 O D T y Z x d W 9 0 O y w m c X V v d D t D T 0 V G I E R F I F Z B U k l B w 4 f D g 0 8 g R E l T V F J J Q l V J w 4 f D g 0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2 Z m V k M T c 1 L W E 0 M 2 Y t N D I 2 N y 1 i Y z h l L T U y N z J h Z D U w M m Y 4 M i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R f Q U 5 Q L 0 F 1 d G 9 S Z W 1 v d m V k Q 2 9 s d W 1 u c z E u e 0 3 D i l M s M H 0 m c X V v d D s s J n F 1 b 3 Q 7 U 2 V j d G l v b j E v Q k R f Q U 5 Q L 0 F 1 d G 9 S Z W 1 v d m V k Q 2 9 s d W 1 u c z E u e 1 B S T 0 R V V E 8 s M X 0 m c X V v d D s s J n F 1 b 3 Q 7 U 2 V j d G l v b j E v Q k R f Q U 5 Q L 0 F 1 d G 9 S Z W 1 v d m V k Q 2 9 s d W 1 u c z E u e 1 J F R 0 n D g 0 8 s M n 0 m c X V v d D s s J n F 1 b 3 Q 7 U 2 V j d G l v b j E v Q k R f Q U 5 Q L 0 F 1 d G 9 S Z W 1 v d m V k Q 2 9 s d W 1 u c z E u e 0 V T V E F E T y w z f S Z x d W 9 0 O y w m c X V v d D t T Z W N 0 a W 9 u M S 9 C R F 9 B T l A v Q X V 0 b 1 J l b W 9 2 Z W R D b 2 x 1 b W 5 z M S 5 7 T V V O S U P D j V B J T y w 0 f S Z x d W 9 0 O y w m c X V v d D t T Z W N 0 a W 9 u M S 9 C R F 9 B T l A v Q X V 0 b 1 J l b W 9 2 Z W R D b 2 x 1 b W 5 z M S 5 7 T s O a T U V S T y B E R S B Q T 1 N U T 1 M g U E V T U V V J U 0 F E T 1 M s N X 0 m c X V v d D s s J n F 1 b 3 Q 7 U 2 V j d G l v b j E v Q k R f Q U 5 Q L 0 F 1 d G 9 S Z W 1 v d m V k Q 2 9 s d W 1 u c z E u e 1 V O S U R B R E U g R E U g T U V E S U R B L D Z 9 J n F 1 b 3 Q 7 L C Z x d W 9 0 O 1 N l Y 3 R p b 2 4 x L 0 J E X 0 F O U C 9 B d X R v U m V t b 3 Z l Z E N v b H V t b n M x L n t Q U k X D h 0 8 g T c O J R E l P I F J F V k V O R E E s N 3 0 m c X V v d D s s J n F 1 b 3 Q 7 U 2 V j d G l v b j E v Q k R f Q U 5 Q L 0 F 1 d G 9 S Z W 1 v d m V k Q 2 9 s d W 1 u c z E u e 0 R F U 1 Z J T y B Q Q U R S w 4 N P I F J F V k V O R E E s O H 0 m c X V v d D s s J n F 1 b 3 Q 7 U 2 V j d G l v b j E v Q k R f Q U 5 Q L 0 F 1 d G 9 S Z W 1 v d m V k Q 2 9 s d W 1 u c z E u e 1 B S R c O H T y B N w 4 1 O S U 1 P I F J F V k V O R E E s O X 0 m c X V v d D s s J n F 1 b 3 Q 7 U 2 V j d G l v b j E v Q k R f Q U 5 Q L 0 F 1 d G 9 S Z W 1 v d m V k Q 2 9 s d W 1 u c z E u e 1 B S R c O H T y B N w 4 F Y S U 1 P I F J F V k V O R E E s M T B 9 J n F 1 b 3 Q 7 L C Z x d W 9 0 O 1 N l Y 3 R p b 2 4 x L 0 J E X 0 F O U C 9 B d X R v U m V t b 3 Z l Z E N v b H V t b n M x L n t N Q V J H R U 0 g T c O J R E l B I F J F V k V O R E E s M T F 9 J n F 1 b 3 Q 7 L C Z x d W 9 0 O 1 N l Y 3 R p b 2 4 x L 0 J E X 0 F O U C 9 B d X R v U m V t b 3 Z l Z E N v b H V t b n M x L n t D T 0 V G I E R F I F Z B U k l B w 4 f D g 0 8 g U k V W R U 5 E Q S w x M n 0 m c X V v d D s s J n F 1 b 3 Q 7 U 2 V j d G l v b j E v Q k R f Q U 5 Q L 0 F 1 d G 9 S Z W 1 v d m V k Q 2 9 s d W 1 u c z E u e 1 B S R c O H T y B N w 4 l E S U 8 g R E l T V F J J Q l V J w 4 f D g 0 8 s M T N 9 J n F 1 b 3 Q 7 L C Z x d W 9 0 O 1 N l Y 3 R p b 2 4 x L 0 J E X 0 F O U C 9 B d X R v U m V t b 3 Z l Z E N v b H V t b n M x L n t E R V N W S U 8 g U E F E U s O D T y B E S V N U U k l C V U n D h 8 O D T y w x N H 0 m c X V v d D s s J n F 1 b 3 Q 7 U 2 V j d G l v b j E v Q k R f Q U 5 Q L 0 F 1 d G 9 S Z W 1 v d m V k Q 2 9 s d W 1 u c z E u e 1 B S R c O H T y B N w 4 1 O S U 1 P I E R J U 1 R S S U J V S c O H w 4 N P L D E 1 f S Z x d W 9 0 O y w m c X V v d D t T Z W N 0 a W 9 u M S 9 C R F 9 B T l A v Q X V 0 b 1 J l b W 9 2 Z W R D b 2 x 1 b W 5 z M S 5 7 U F J F w 4 d P I E 3 D g V h J T U 8 g R E l T V F J J Q l V J w 4 f D g 0 8 s M T Z 9 J n F 1 b 3 Q 7 L C Z x d W 9 0 O 1 N l Y 3 R p b 2 4 x L 0 J E X 0 F O U C 9 B d X R v U m V t b 3 Z l Z E N v b H V t b n M x L n t D T 0 V G I E R F I F Z B U k l B w 4 f D g 0 8 g R E l T V F J J Q l V J w 4 f D g 0 8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C R F 9 B T l A v Q X V 0 b 1 J l b W 9 2 Z W R D b 2 x 1 b W 5 z M S 5 7 T c O K U y w w f S Z x d W 9 0 O y w m c X V v d D t T Z W N 0 a W 9 u M S 9 C R F 9 B T l A v Q X V 0 b 1 J l b W 9 2 Z W R D b 2 x 1 b W 5 z M S 5 7 U F J P R F V U T y w x f S Z x d W 9 0 O y w m c X V v d D t T Z W N 0 a W 9 u M S 9 C R F 9 B T l A v Q X V 0 b 1 J l b W 9 2 Z W R D b 2 x 1 b W 5 z M S 5 7 U k V H S c O D T y w y f S Z x d W 9 0 O y w m c X V v d D t T Z W N 0 a W 9 u M S 9 C R F 9 B T l A v Q X V 0 b 1 J l b W 9 2 Z W R D b 2 x 1 b W 5 z M S 5 7 R V N U Q U R P L D N 9 J n F 1 b 3 Q 7 L C Z x d W 9 0 O 1 N l Y 3 R p b 2 4 x L 0 J E X 0 F O U C 9 B d X R v U m V t b 3 Z l Z E N v b H V t b n M x L n t N V U 5 J Q 8 O N U E l P L D R 9 J n F 1 b 3 Q 7 L C Z x d W 9 0 O 1 N l Y 3 R p b 2 4 x L 0 J E X 0 F O U C 9 B d X R v U m V t b 3 Z l Z E N v b H V t b n M x L n t O w 5 p N R V J P I E R F I F B P U 1 R P U y B Q R V N R V U l T Q U R P U y w 1 f S Z x d W 9 0 O y w m c X V v d D t T Z W N 0 a W 9 u M S 9 C R F 9 B T l A v Q X V 0 b 1 J l b W 9 2 Z W R D b 2 x 1 b W 5 z M S 5 7 V U 5 J R E F E R S B E R S B N R U R J R E E s N n 0 m c X V v d D s s J n F 1 b 3 Q 7 U 2 V j d G l v b j E v Q k R f Q U 5 Q L 0 F 1 d G 9 S Z W 1 v d m V k Q 2 9 s d W 1 u c z E u e 1 B S R c O H T y B N w 4 l E S U 8 g U k V W R U 5 E Q S w 3 f S Z x d W 9 0 O y w m c X V v d D t T Z W N 0 a W 9 u M S 9 C R F 9 B T l A v Q X V 0 b 1 J l b W 9 2 Z W R D b 2 x 1 b W 5 z M S 5 7 R E V T V k l P I F B B R F L D g 0 8 g U k V W R U 5 E Q S w 4 f S Z x d W 9 0 O y w m c X V v d D t T Z W N 0 a W 9 u M S 9 C R F 9 B T l A v Q X V 0 b 1 J l b W 9 2 Z W R D b 2 x 1 b W 5 z M S 5 7 U F J F w 4 d P I E 3 D j U 5 J T U 8 g U k V W R U 5 E Q S w 5 f S Z x d W 9 0 O y w m c X V v d D t T Z W N 0 a W 9 u M S 9 C R F 9 B T l A v Q X V 0 b 1 J l b W 9 2 Z W R D b 2 x 1 b W 5 z M S 5 7 U F J F w 4 d P I E 3 D g V h J T U 8 g U k V W R U 5 E Q S w x M H 0 m c X V v d D s s J n F 1 b 3 Q 7 U 2 V j d G l v b j E v Q k R f Q U 5 Q L 0 F 1 d G 9 S Z W 1 v d m V k Q 2 9 s d W 1 u c z E u e 0 1 B U k d F T S B N w 4 l E S U E g U k V W R U 5 E Q S w x M X 0 m c X V v d D s s J n F 1 b 3 Q 7 U 2 V j d G l v b j E v Q k R f Q U 5 Q L 0 F 1 d G 9 S Z W 1 v d m V k Q 2 9 s d W 1 u c z E u e 0 N P R U Y g R E U g V k F S S U H D h 8 O D T y B S R V Z F T k R B L D E y f S Z x d W 9 0 O y w m c X V v d D t T Z W N 0 a W 9 u M S 9 C R F 9 B T l A v Q X V 0 b 1 J l b W 9 2 Z W R D b 2 x 1 b W 5 z M S 5 7 U F J F w 4 d P I E 3 D i U R J T y B E S V N U U k l C V U n D h 8 O D T y w x M 3 0 m c X V v d D s s J n F 1 b 3 Q 7 U 2 V j d G l v b j E v Q k R f Q U 5 Q L 0 F 1 d G 9 S Z W 1 v d m V k Q 2 9 s d W 1 u c z E u e 0 R F U 1 Z J T y B Q Q U R S w 4 N P I E R J U 1 R S S U J V S c O H w 4 N P L D E 0 f S Z x d W 9 0 O y w m c X V v d D t T Z W N 0 a W 9 u M S 9 C R F 9 B T l A v Q X V 0 b 1 J l b W 9 2 Z W R D b 2 x 1 b W 5 z M S 5 7 U F J F w 4 d P I E 3 D j U 5 J T U 8 g R E l T V F J J Q l V J w 4 f D g 0 8 s M T V 9 J n F 1 b 3 Q 7 L C Z x d W 9 0 O 1 N l Y 3 R p b 2 4 x L 0 J E X 0 F O U C 9 B d X R v U m V t b 3 Z l Z E N v b H V t b n M x L n t Q U k X D h 0 8 g T c O B W E l N T y B E S V N U U k l C V U n D h 8 O D T y w x N n 0 m c X V v d D s s J n F 1 b 3 Q 7 U 2 V j d G l v b j E v Q k R f Q U 5 Q L 0 F 1 d G 9 S Z W 1 v d m V k Q 2 9 s d W 1 u c z E u e 0 N P R U Y g R E U g V k F S S U H D h 8 O D T y B E S V N U U k l C V U n D h 8 O D T y w x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c O n w 6 N v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R F 9 G c m 9 0 Y V N H Q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k R f R n J v d G F T R 0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G c m 9 0 Y V N H Q y 9 Q Z X J z b 2 5 h b G l 6 Y S V D M y V B N y V D M y V B M 2 8 l M j B B Z G l j a W 9 u Y W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G c m 9 0 Y V N H Q y 9 U a X B v J T I w Q W x 0 Z X J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B T l A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E X 0 F O U C 9 N V U 5 J Q y V D M y U 4 R F B J T 1 M l M j A t J T I w S k F O J T I w M j I l M j B F T S U y M E R J Q U 5 U R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k R f Q U 5 Q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E X 0 F O U C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E X 0 F O U C 9 M a W 5 o Y X M l M j B T d X B l c m l v c m V z J T I w U m V t b 3 Z p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B T l A v Q 2 F i Z S V D M y V B N 2 F s a G 9 z J T I w U H J v b W 9 2 a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E X 0 F O U C 9 U a X B v J T I w Q W x 0 Z X J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B T l A v T G l u a G F z J T I w R m l s d H J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R F 9 G c m 9 0 Y V N H Q y 9 M a W 5 o Y X M l M j B D b G F z c 2 l m a W N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U y 9 e Q C G V b S L e W V x w h i q w A A A A A A A I A A A A A A B B m A A A A A Q A A I A A A A O 4 I z a A s R z / 6 4 8 k 8 h R / Z k M h T 5 v Y k t d K D / 9 f a c h v k 7 u Z q A A A A A A 6 A A A A A A g A A I A A A A P o y f s 5 O X 5 K 5 n R J 3 5 E V u G m T V G R t H 2 x C F n 7 b Q h 1 v T E D l o U A A A A O S t g 5 x P N n I k r L d Q 7 d 0 T F V L 0 k a 2 A V F 3 5 O 9 a 0 E f S G 0 G V 8 s u D x a 0 3 A U n R K l x Z H z A t N 1 M Y X T I l L a 3 I l f B c U 7 h x g r 1 u C g z E v u 0 3 7 r z z 3 V b u y E o Q U Q A A A A B s Z d R e / A B P Y d / d n F + 7 7 A / z S o 1 4 B 6 Z 3 A T r U V / F I x E 3 s T t 5 Z L 5 c I Y G X a h C T b a x z F j h N k k e r z f p 0 B y w b M u x X T k Y f M = < / D a t a M a s h u p > 
</file>

<file path=customXml/itemProps1.xml><?xml version="1.0" encoding="utf-8"?>
<ds:datastoreItem xmlns:ds="http://schemas.openxmlformats.org/officeDocument/2006/customXml" ds:itemID="{7BA129AB-8535-46CD-973F-2FDB05E51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a9d40-16da-496c-9a26-b09a81a928c1"/>
    <ds:schemaRef ds:uri="085db5f2-1c78-490a-a89a-2eafc929e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C28BA9-4909-44F3-A470-522EDDA982BB}">
  <ds:schemaRefs>
    <ds:schemaRef ds:uri="http://schemas.microsoft.com/office/2006/metadata/properties"/>
    <ds:schemaRef ds:uri="http://schemas.microsoft.com/office/infopath/2007/PartnerControls"/>
    <ds:schemaRef ds:uri="085db5f2-1c78-490a-a89a-2eafc929e690"/>
    <ds:schemaRef ds:uri="4b6a9d40-16da-496c-9a26-b09a81a928c1"/>
  </ds:schemaRefs>
</ds:datastoreItem>
</file>

<file path=customXml/itemProps3.xml><?xml version="1.0" encoding="utf-8"?>
<ds:datastoreItem xmlns:ds="http://schemas.openxmlformats.org/officeDocument/2006/customXml" ds:itemID="{A774D70A-D1BC-4C81-BBC6-CF4E7EAC96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231D56-156F-40E7-9A2A-F20197C8DE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Tarifa_Técnica - PLANUM</vt:lpstr>
      <vt:lpstr>Comparação IBETA x PLANUM</vt:lpstr>
      <vt:lpstr>Tabelas_Dados_Op</vt:lpstr>
      <vt:lpstr>Tabelas_Coeficientes</vt:lpstr>
      <vt:lpstr>Tabelas_Prc_Insumos</vt:lpstr>
      <vt:lpstr>Resumo_Frota</vt:lpstr>
      <vt:lpstr>Peças e Acessórios</vt:lpstr>
      <vt:lpstr>Planilha1</vt:lpstr>
      <vt:lpstr>Dep. e Rem. Frota</vt:lpstr>
      <vt:lpstr>Tabelas_Dados_Op!Area_de_impressao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Keller</dc:creator>
  <cp:lastModifiedBy>Daniel Kopicz</cp:lastModifiedBy>
  <cp:lastPrinted>2024-09-17T02:47:56Z</cp:lastPrinted>
  <dcterms:created xsi:type="dcterms:W3CDTF">2024-05-08T11:59:56Z</dcterms:created>
  <dcterms:modified xsi:type="dcterms:W3CDTF">2026-03-26T17:35:51Z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0x0101002445D369972AE34BA259A6AEE62BFCF1</vt:lpwstr>
  </property>
  <property fmtid="{D5CDD505-2E9C-101B-9397-08002B2CF9AE}" pid="3" name="MediaServiceImageTags">
    <vt:lpwstr/>
  </property>
</Properties>
</file>